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S PALMAS\"/>
    </mc:Choice>
  </mc:AlternateContent>
  <workbookProtection workbookAlgorithmName="SHA-512" workbookHashValue="AwI+NfgWC6THLNFmiBrlepFdOX5/ctRpgEmXhUdKE6J2ErjcUuVTyVJqi62jC/ZCBjvLN7vh+Rr8778hHtwalA==" workbookSaltValue="cZpHMdGcnMYCrGWwSQqw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Z9" i="11"/>
  <c r="AZ13" i="11" s="1"/>
  <c r="AZ15" i="11"/>
  <c r="AZ18" i="11" s="1"/>
  <c r="BV17" i="16"/>
  <c r="BV12" i="16"/>
  <c r="BV11" i="16"/>
  <c r="U10" i="17"/>
  <c r="V12" i="16"/>
  <c r="BV9" i="16"/>
  <c r="T13" i="16"/>
  <c r="AA17" i="16"/>
  <c r="T16" i="11"/>
  <c r="Q17" i="17"/>
  <c r="BI9" i="11"/>
  <c r="S10" i="17"/>
  <c r="Q15" i="17"/>
  <c r="BF15"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G10" i="8"/>
  <c r="B9" i="6"/>
  <c r="T9" i="11"/>
  <c r="C12" i="14"/>
  <c r="K12" i="14" s="1"/>
  <c r="V10" i="16"/>
  <c r="X15" i="16"/>
  <c r="X18" i="16" s="1"/>
  <c r="L17" i="2"/>
  <c r="L12" i="2"/>
  <c r="S16" i="17"/>
  <c r="S15" i="17"/>
  <c r="BK10" i="11"/>
  <c r="BH12" i="16"/>
  <c r="BH16" i="11"/>
  <c r="BM17" i="11"/>
  <c r="BH10" i="16"/>
  <c r="AQ10" i="21"/>
  <c r="BH10" i="11"/>
  <c r="BG12" i="11"/>
  <c r="AZ12" i="11"/>
  <c r="BU16" i="17"/>
  <c r="BW10" i="20"/>
  <c r="BW11" i="20"/>
  <c r="BW12" i="20"/>
  <c r="BU10" i="17"/>
  <c r="BU11" i="17"/>
  <c r="AP17" i="20"/>
  <c r="BK17" i="11"/>
  <c r="BJ12" i="11"/>
  <c r="BM12" i="11"/>
  <c r="BF10" i="11"/>
  <c r="BM16" i="11"/>
  <c r="BH11" i="16"/>
  <c r="AL16" i="11"/>
  <c r="C16" i="6"/>
  <c r="BE9" i="13"/>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R17" i="20"/>
  <c r="R18" i="20" s="1"/>
  <c r="AP15" i="20"/>
  <c r="BJ15" i="11"/>
  <c r="BH9" i="11"/>
  <c r="AP10" i="21"/>
  <c r="BK11" i="11"/>
  <c r="X11" i="17"/>
  <c r="BK9" i="11"/>
  <c r="BK12" i="11"/>
  <c r="P17" i="17"/>
  <c r="BG10" i="11"/>
  <c r="BL9" i="11"/>
  <c r="BF11" i="11"/>
  <c r="AZ19"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BF13" i="8"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<sst xmlns="http://schemas.openxmlformats.org/spreadsheetml/2006/main" count="2074" uniqueCount="910">
  <si>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</si>
  <si>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</si>
  <si>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</si>
  <si>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</si>
  <si>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</si>
  <si>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</si>
  <si>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</si>
  <si>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</si>
  <si>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</si>
  <si>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</si>
  <si>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</si>
  <si>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</si>
  <si>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</si>
  <si>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</si>
  <si>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</si>
  <si>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</si>
  <si>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</si>
  <si>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</si>
  <si>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</si>
  <si>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</si>
  <si>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</si>
  <si>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</si>
  <si>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</si>
  <si>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</si>
  <si>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</si>
  <si>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</si>
  <si>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</si>
  <si>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</si>
  <si>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</si>
  <si>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</si>
  <si>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</si>
  <si>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</si>
  <si>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</si>
  <si>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</si>
  <si>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</si>
  <si>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</si>
  <si>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</si>
  <si>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</si>
  <si>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</si>
  <si>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</si>
  <si>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</si>
  <si>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</si>
  <si>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</si>
  <si>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</si>
  <si>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</si>
  <si>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</si>
  <si>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</si>
  <si>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</si>
  <si>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</si>
  <si>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</si>
  <si>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</si>
  <si>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</si>
  <si>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</si>
  <si>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</si>
  <si>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</si>
  <si>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</si>
  <si>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</si>
  <si>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</si>
  <si>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</si>
  <si>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</si>
  <si>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</si>
  <si>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</si>
  <si>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</si>
  <si>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</si>
  <si>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</si>
  <si>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</si>
  <si>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</si>
  <si>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</si>
  <si>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</si>
  <si>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</si>
  <si>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</si>
  <si>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</si>
  <si>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</si>
  <si>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</si>
  <si>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</si>
  <si>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</si>
  <si>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</si>
  <si>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</si>
  <si>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</si>
  <si>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</si>
  <si>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</si>
  <si>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</si>
  <si>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</si>
  <si>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</si>
  <si>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</si>
  <si>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</si>
  <si>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</si>
  <si>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</si>
  <si>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</si>
  <si>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</si>
  <si>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</si>
  <si>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</si>
  <si>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</si>
  <si>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</si>
  <si>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</si>
  <si>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</si>
  <si>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</si>
  <si>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</si>
  <si>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</si>
  <si>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</si>
  <si>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</si>
  <si>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</si>
  <si>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</si>
  <si>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</si>
  <si>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</si>
  <si>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</si>
  <si>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</si>
  <si>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</si>
  <si>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</si>
  <si>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</si>
  <si>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</si>
  <si>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</si>
  <si>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</si>
  <si>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</si>
  <si>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</si>
  <si>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</si>
  <si>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</si>
  <si>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</si>
  <si>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</si>
  <si>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</si>
  <si>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</si>
  <si>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</si>
  <si>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</si>
  <si>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</si>
  <si>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</si>
  <si>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</si>
  <si>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</si>
  <si>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</si>
  <si>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</si>
  <si>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</si>
  <si>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</si>
  <si>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</si>
  <si>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</si>
  <si>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</si>
  <si>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</si>
  <si>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</si>
  <si>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</si>
  <si>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</si>
  <si>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</si>
  <si>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</si>
  <si>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</si>
  <si>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</si>
  <si>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</si>
  <si>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</si>
  <si>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</si>
  <si>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</si>
  <si>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</si>
  <si>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</si>
  <si>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</si>
  <si>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</si>
  <si>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</si>
  <si>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</si>
  <si>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</si>
  <si>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</si>
  <si>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</si>
  <si>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</si>
  <si>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</si>
  <si>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</si>
  <si>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</si>
  <si>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</si>
  <si>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</si>
  <si>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</si>
  <si>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</si>
  <si>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</si>
  <si>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</si>
  <si>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</si>
  <si>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</si>
  <si>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</si>
  <si>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</si>
  <si>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</si>
  <si>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</si>
  <si>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</si>
  <si>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</si>
  <si>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</si>
  <si>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</si>
  <si>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</si>
  <si>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</si>
  <si>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</si>
  <si>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</si>
  <si>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</si>
  <si>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</si>
  <si>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</si>
  <si>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</si>
  <si>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</si>
  <si>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</si>
  <si>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</si>
  <si>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</si>
  <si>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</si>
  <si>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</si>
  <si>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</si>
  <si>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</si>
  <si>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</si>
  <si>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</si>
  <si>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</si>
  <si>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</si>
  <si>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</si>
  <si>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</si>
  <si>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</si>
  <si>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</si>
  <si>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</si>
  <si>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</si>
  <si>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</si>
  <si>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</si>
  <si>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</si>
  <si>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</si>
  <si>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</si>
  <si>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</si>
  <si>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</si>
  <si>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</si>
  <si>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</si>
  <si>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</si>
  <si>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</si>
  <si>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</si>
  <si>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</si>
  <si>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</si>
  <si>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</si>
  <si>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</si>
  <si>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</si>
  <si>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</si>
  <si>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</si>
  <si>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</si>
  <si>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</si>
  <si>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</si>
  <si>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</si>
  <si>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</si>
  <si>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</si>
  <si>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</si>
  <si>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</si>
  <si>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</si>
  <si>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</si>
  <si>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</si>
  <si>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</si>
  <si>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</si>
  <si>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</si>
  <si>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</si>
  <si>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</si>
  <si>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</si>
  <si>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</si>
  <si>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</si>
  <si>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</si>
  <si>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</si>
  <si>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</si>
  <si>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</si>
  <si>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</si>
  <si>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</si>
  <si>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</si>
  <si>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</si>
  <si>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</si>
  <si>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</si>
  <si>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</si>
  <si>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</si>
  <si>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</si>
  <si>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</si>
  <si>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</si>
  <si>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</si>
  <si>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</si>
  <si>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</si>
  <si>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</si>
  <si>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</si>
  <si>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</si>
  <si>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</si>
  <si>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</si>
  <si>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</si>
  <si>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</si>
  <si>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</si>
  <si>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</si>
  <si>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</si>
  <si>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</si>
  <si>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</si>
  <si>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</si>
  <si>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</si>
  <si>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</si>
  <si>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</si>
  <si>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</si>
  <si>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</si>
  <si>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</si>
  <si>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</si>
  <si>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</si>
  <si>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</si>
  <si>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</si>
  <si>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</si>
  <si>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</si>
  <si>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</si>
  <si>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</si>
  <si>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</si>
  <si>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</si>
  <si>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</si>
  <si>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</si>
  <si>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</si>
  <si>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</si>
  <si>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</si>
  <si>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</si>
  <si>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</si>
  <si>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</si>
  <si>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</si>
  <si>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</si>
  <si>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</si>
  <si>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</si>
  <si>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</si>
  <si>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</si>
  <si>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</si>
  <si>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</si>
  <si>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</si>
  <si>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</si>
  <si>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</si>
  <si>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</si>
  <si>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</si>
  <si>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</si>
  <si>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</si>
  <si>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</si>
  <si>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</si>
  <si>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</si>
  <si>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</si>
  <si>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</si>
  <si>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</si>
  <si>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</si>
  <si>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</si>
  <si>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</si>
  <si>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</si>
  <si>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</si>
  <si>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</si>
  <si>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</si>
  <si>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</si>
  <si>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</si>
  <si>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</si>
  <si>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</si>
  <si>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</si>
  <si>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</si>
  <si>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</si>
  <si>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</si>
  <si>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</si>
  <si>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</si>
  <si>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</si>
  <si>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</si>
  <si>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</si>
  <si>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</si>
  <si>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</si>
  <si>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</si>
  <si>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</si>
  <si>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</si>
  <si>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</si>
  <si>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</si>
  <si>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</si>
  <si>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</si>
  <si>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</si>
  <si>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</si>
  <si>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</si>
  <si>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</si>
  <si>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</si>
  <si>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</si>
  <si>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</si>
  <si>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</si>
  <si>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</si>
  <si>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</si>
  <si>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</si>
  <si>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</si>
  <si>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</si>
  <si>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</si>
  <si>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</si>
  <si>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</si>
  <si>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</si>
  <si>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</si>
  <si>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</si>
  <si>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</si>
  <si>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</si>
  <si>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</si>
  <si>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</si>
  <si>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</si>
  <si>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</si>
  <si>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</si>
  <si>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</si>
  <si>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</si>
  <si>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</si>
  <si>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</si>
  <si>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</si>
  <si>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</si>
  <si>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</si>
  <si>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</si>
  <si>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</si>
  <si>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</si>
  <si>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</si>
  <si>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</si>
  <si>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</si>
  <si>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</si>
  <si>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</si>
  <si>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</si>
  <si>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</si>
  <si>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</si>
  <si>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</si>
  <si>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</si>
  <si>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</si>
  <si>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</si>
  <si>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</si>
  <si>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</si>
  <si>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</si>
  <si>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</si>
  <si>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</si>
  <si>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</si>
  <si>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</si>
  <si>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</si>
  <si>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</si>
  <si>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</si>
  <si>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</si>
  <si>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</si>
  <si>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</si>
  <si>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</si>
  <si>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</si>
  <si>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</si>
  <si>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</si>
  <si>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</si>
  <si>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</si>
  <si>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</si>
  <si>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</si>
  <si>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</si>
  <si>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</si>
  <si>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</si>
  <si>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</si>
  <si>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</si>
  <si>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</si>
  <si>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</si>
  <si>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</si>
  <si>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</si>
  <si>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</si>
  <si>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</si>
  <si>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</si>
  <si>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</si>
  <si>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</si>
  <si>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</si>
  <si>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</si>
  <si>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</si>
  <si>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</si>
  <si>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</si>
  <si>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</si>
  <si>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</si>
  <si>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</si>
  <si>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</si>
  <si>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</si>
  <si>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</si>
  <si>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</si>
  <si>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</si>
  <si>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</si>
  <si>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</si>
  <si>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</si>
  <si>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</si>
  <si>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</si>
  <si>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</si>
  <si>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</si>
  <si>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</si>
  <si>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</si>
  <si>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</si>
  <si>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</si>
  <si>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</si>
  <si>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</si>
  <si>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</si>
  <si>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</si>
  <si>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</si>
  <si>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</si>
  <si>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</si>
  <si>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</si>
  <si>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</si>
  <si>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</si>
  <si>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</si>
  <si>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</si>
  <si>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</si>
  <si>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</si>
  <si>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</si>
  <si>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</si>
  <si>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</si>
  <si>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</si>
  <si>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</si>
  <si>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</si>
  <si>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</si>
  <si>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</si>
  <si>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</si>
  <si>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</si>
  <si>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</si>
  <si>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</si>
  <si>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</si>
  <si>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</si>
  <si>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</si>
  <si>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</si>
  <si>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</si>
  <si>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</si>
  <si>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</si>
  <si>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</si>
  <si>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</si>
  <si>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</si>
  <si>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</si>
  <si>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</si>
  <si>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</si>
  <si>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</si>
  <si>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</si>
  <si>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</si>
  <si>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</si>
  <si>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</si>
  <si>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</si>
  <si>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</si>
  <si>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</si>
  <si>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</si>
  <si>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</si>
  <si>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</si>
  <si>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</si>
  <si>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</si>
  <si>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</si>
  <si>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</si>
  <si>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</si>
  <si>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</si>
  <si>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</si>
  <si>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</si>
  <si>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</si>
  <si>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</si>
  <si>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</si>
  <si>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</si>
  <si>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</si>
  <si>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</si>
  <si>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</si>
  <si>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</si>
  <si>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</si>
  <si>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</si>
  <si>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</si>
  <si>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</si>
  <si>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</si>
  <si>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</si>
  <si>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</si>
  <si>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</si>
  <si>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</si>
  <si>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</si>
  <si>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</si>
  <si>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</si>
  <si>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</si>
  <si>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</si>
  <si>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</si>
  <si>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</si>
  <si>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</si>
  <si>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</si>
  <si>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</si>
  <si>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</si>
  <si>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</si>
  <si>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</si>
  <si>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</si>
  <si>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</si>
  <si>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</si>
  <si>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</si>
  <si>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</si>
  <si>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</si>
  <si>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</si>
  <si>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</si>
  <si>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</si>
  <si>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</si>
  <si>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</si>
  <si>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</si>
  <si>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</si>
  <si>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</si>
  <si>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</si>
  <si>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</si>
  <si>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</si>
  <si>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</si>
  <si>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</si>
  <si>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</si>
  <si>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</si>
  <si>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</si>
  <si>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</si>
  <si>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</si>
  <si>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</si>
  <si>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</si>
  <si>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</si>
  <si>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</si>
  <si>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</si>
  <si>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</si>
  <si>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</si>
  <si>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</si>
  <si>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</si>
  <si>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</si>
  <si>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</si>
  <si>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</si>
  <si>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</si>
  <si>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</si>
  <si>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</si>
  <si>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</si>
  <si>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</si>
  <si>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</si>
  <si>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</si>
  <si>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</si>
  <si>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</si>
  <si>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</si>
  <si>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</si>
  <si>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</si>
  <si>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</si>
  <si>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</si>
  <si>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</si>
  <si>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</si>
  <si>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</si>
  <si>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</si>
  <si>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</si>
  <si>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</si>
  <si>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</si>
  <si>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</si>
  <si>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</si>
  <si>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</si>
  <si>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</si>
  <si>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</si>
  <si>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</si>
  <si>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</si>
  <si>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</si>
  <si>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</si>
  <si>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</si>
  <si>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</si>
  <si>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</si>
  <si>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</si>
  <si>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</si>
  <si>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</si>
  <si>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</si>
  <si>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</si>
  <si>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</si>
  <si>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</si>
  <si>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</si>
  <si>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</si>
  <si>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</si>
  <si>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</si>
  <si>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</si>
  <si>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</si>
  <si>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</si>
  <si>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</si>
  <si>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</si>
  <si>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</si>
  <si>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</si>
  <si>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</si>
  <si>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</si>
  <si>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</si>
  <si>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</si>
  <si>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</si>
  <si>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</si>
  <si>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</si>
  <si>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</si>
  <si>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</si>
  <si>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</si>
  <si>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</si>
  <si>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</si>
  <si>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</si>
  <si>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</si>
  <si>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</si>
  <si>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</si>
  <si>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</si>
  <si>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</si>
  <si>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</si>
  <si>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</si>
  <si>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</si>
  <si>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</si>
  <si>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</si>
  <si>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</si>
  <si>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</si>
  <si>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</si>
  <si>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</si>
  <si>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</si>
  <si>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</si>
  <si>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</si>
  <si>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</si>
  <si>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</si>
  <si>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</si>
  <si>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</si>
  <si>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</si>
  <si>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</si>
  <si>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</si>
  <si>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</si>
  <si>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</si>
  <si>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</si>
  <si>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</si>
  <si>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</si>
  <si>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</si>
  <si>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</si>
  <si>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</si>
  <si>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</si>
  <si>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</si>
  <si>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</si>
  <si>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</si>
  <si>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</si>
  <si>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</si>
  <si>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</si>
  <si>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</si>
  <si>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</si>
  <si>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</si>
  <si>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</si>
  <si>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</si>
  <si>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</si>
  <si>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</si>
  <si>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</si>
  <si>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</si>
  <si>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</si>
  <si>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</si>
  <si>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</si>
  <si>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</si>
  <si>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</si>
  <si>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</si>
  <si>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</si>
  <si>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</si>
  <si>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</si>
  <si>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</si>
  <si>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</si>
  <si>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</si>
  <si>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</si>
  <si>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</si>
  <si>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</si>
  <si>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</si>
  <si>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</si>
  <si>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</si>
  <si>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</si>
  <si>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</si>
  <si>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</si>
  <si>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</si>
  <si>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</si>
  <si>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</si>
  <si>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</si>
  <si>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</si>
  <si>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</si>
  <si>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</si>
  <si>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</si>
  <si>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</si>
  <si>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</si>
  <si>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</si>
  <si>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</si>
  <si>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</si>
  <si>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</si>
  <si>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</si>
  <si>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</si>
  <si>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</si>
  <si>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</si>
  <si>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</si>
  <si>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</si>
  <si>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</si>
  <si>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</si>
  <si>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</si>
  <si>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</si>
  <si>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</si>
  <si>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</si>
  <si>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</si>
  <si>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</si>
  <si>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</si>
  <si>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</si>
  <si>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</si>
  <si>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</si>
  <si>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</si>
  <si>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</si>
  <si>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</si>
  <si>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</si>
  <si>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</si>
  <si>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</si>
  <si>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</si>
  <si>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</si>
  <si>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</si>
  <si>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</si>
  <si>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</si>
  <si>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</si>
  <si>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</si>
  <si>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</si>
  <si>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</si>
  <si>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</si>
  <si>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</si>
  <si>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</si>
  <si>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</si>
  <si>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</si>
  <si>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</si>
  <si>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</si>
  <si>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</si>
  <si>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</si>
  <si>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</si>
  <si>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</si>
  <si>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</si>
  <si>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</si>
  <si>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</si>
  <si>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</si>
  <si>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</si>
  <si>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</si>
  <si>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</si>
  <si>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</si>
  <si>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</si>
  <si>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</si>
  <si>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</si>
  <si>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</si>
  <si>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</si>
  <si>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</si>
  <si>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</si>
  <si>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</si>
  <si>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</si>
  <si>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</si>
  <si>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</si>
  <si>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</si>
  <si>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</si>
  <si>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</si>
  <si>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</si>
  <si>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</si>
  <si>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</si>
  <si>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</si>
  <si>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</si>
  <si>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</si>
  <si>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</si>
  <si>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</si>
  <si>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</si>
  <si>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</si>
  <si>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</si>
  <si>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</si>
  <si>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</si>
  <si>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</si>
  <si>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</si>
  <si>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</si>
  <si>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</si>
  <si>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</si>
  <si>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</si>
  <si>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</si>
  <si>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</si>
  <si>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</si>
  <si>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</si>
  <si>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</si>
  <si>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</si>
  <si>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</si>
  <si>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</si>
  <si>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</si>
  <si>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</si>
  <si>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</si>
  <si>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</si>
  <si>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</si>
  <si>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</si>
  <si>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</si>
  <si>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</si>
  <si>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</si>
  <si>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</si>
  <si>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</si>
  <si>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</si>
  <si>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</si>
  <si>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</si>
  <si>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</si>
  <si>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</si>
  <si>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</si>
  <si>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</si>
  <si>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</si>
  <si>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</si>
  <si>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</si>
  <si>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</si>
  <si>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</si>
  <si>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</si>
  <si>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</si>
  <si>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</si>
  <si>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</si>
  <si>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</si>
  <si>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</si>
  <si>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</si>
  <si>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</si>
  <si>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</si>
  <si>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</si>
  <si>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</si>
  <si>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</si>
  <si>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</si>
  <si>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</si>
  <si>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</si>
  <si>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</si>
  <si>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</si>
  <si>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</si>
  <si>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</si>
  <si>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</si>
  <si>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</si>
  <si>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</si>
  <si>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</si>
  <si>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</si>
  <si>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</si>
  <si>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</si>
  <si>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</si>
  <si>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</si>
  <si>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</si>
  <si>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</si>
  <si>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</si>
  <si>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</si>
  <si>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</si>
  <si>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</si>
  <si>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</si>
  <si>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</si>
  <si>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</si>
  <si>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</si>
  <si>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</si>
  <si>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</si>
  <si>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</si>
  <si>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</si>
  <si>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</si>
  <si>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</si>
  <si>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</si>
  <si>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</si>
  <si>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</si>
  <si>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</si>
  <si>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</si>
  <si>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</si>
  <si>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</si>
  <si>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</si>
  <si>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</si>
  <si>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</si>
  <si>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</si>
  <si>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</si>
  <si>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</si>
  <si>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</si>
  <si>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</si>
  <si>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</si>
  <si>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</si>
  <si>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</si>
  <si>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</si>
  <si>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</si>
  <si>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</si>
  <si>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</si>
  <si>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</si>
  <si>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CANARIAS</t>
  </si>
  <si>
    <t>Provincias</t>
  </si>
  <si>
    <t>LAS PALMAS</t>
  </si>
  <si>
    <t>Resumenes por Partidos Judiciales</t>
  </si>
  <si>
    <t>SAN BARTOLOME DE TIRAJANA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</si>
</sst>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1S1t8owwaNUfa0Mdwso79gm6H+m3E+7bMuqPhIUQGlsuC/O+YhA2X6hC0hKPIf4ej1fYOxjofvR1CDmx9XjSg==" saltValue="j6Mu46xxgnwk4JTFoNIk3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46.669839381320642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89</v>
      </c>
      <c r="D10" s="225">
        <f>IF(ISNUMBER(Datos!I10),Datos!I10," - ")</f>
        <v>89</v>
      </c>
      <c r="E10" s="226">
        <f>IF(ISNUMBER(Datos!J10),Datos!J10," - ")</f>
        <v>20</v>
      </c>
      <c r="F10" s="226">
        <f>IF(ISNUMBER(Datos!K10),Datos!K10," - ")</f>
        <v>26</v>
      </c>
      <c r="G10" s="1034" t="str">
        <f>IF(Datos!E10&lt;&gt;"",Datos!E10,Datos!D10)</f>
        <v>37</v>
      </c>
      <c r="H10" s="227">
        <f>IF(ISNUMBER(Datos!L10),Datos!L10," - ")</f>
        <v>83</v>
      </c>
      <c r="I10" s="1044" t="str">
        <f>IF(ISNUMBER(Datos!AS10/Datos!BM10),Datos!AS10/Datos!BM10," - ")</f>
        <v xml:space="preserve"> - </v>
      </c>
      <c r="J10" s="1045">
        <f>IF(ISNUMBER(Datos!BY10/Datos!CN10),Datos!BY10/Datos!CN10," - ")</f>
        <v>0</v>
      </c>
      <c r="K10" s="230">
        <f t="shared" ref="K10:K12" si="1">IF(ISNUMBER((E10-F10)/C10),(E10-F10)/C10," - ")</f>
        <v>-6.741573033707865E-2</v>
      </c>
      <c r="L10" s="1025">
        <f>IF(ISNUMBER(NºAsuntos!I10/NºAsuntos!G10),(NºAsuntos!I10/NºAsuntos!G10)*11," - ")</f>
        <v>35.11538461538462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89</v>
      </c>
      <c r="D13" s="1049">
        <f>SUBTOTAL(9,D9:D12)</f>
        <v>89</v>
      </c>
      <c r="E13" s="1050">
        <f>SUBTOTAL(9,E9:E12)</f>
        <v>20</v>
      </c>
      <c r="F13" s="1051">
        <f>SUBTOTAL(9,F9:F12)</f>
        <v>26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2541</v>
      </c>
      <c r="D15" s="225">
        <f>IF(ISNUMBER(IF(D_I="SI",Datos!I15,Datos!I15+Datos!AC15)),IF(D_I="SI",Datos!I15,Datos!I15+Datos!AC15)," - ")</f>
        <v>2534</v>
      </c>
      <c r="E15" s="226">
        <f>IF(ISNUMBER(IF(D_I="SI",Datos!J15,Datos!J15+Datos!AD15)),IF(D_I="SI",Datos!J15,Datos!J15+Datos!AD15)," - ")</f>
        <v>3774</v>
      </c>
      <c r="F15" s="226">
        <f>IF(ISNUMBER(IF(D_I="SI",Datos!K15,Datos!K15+Datos!AE15)),IF(D_I="SI",Datos!K15,Datos!K15+Datos!AE15)," - ")</f>
        <v>3761</v>
      </c>
      <c r="G15" s="1034" t="str">
        <f>IF(Datos!E15&lt;&gt;"",Datos!E15,Datos!D15)</f>
        <v>03</v>
      </c>
      <c r="H15" s="227">
        <f>IF(ISNUMBER(IF(D_I="SI",Datos!L15,Datos!L15+Datos!AF15)),IF(D_I="SI",Datos!L15,Datos!L15+Datos!AF15)," - ")</f>
        <v>2554</v>
      </c>
      <c r="I15" s="1044" t="str">
        <f>IF(ISNUMBER(Datos!AS15/Datos!BM15),Datos!AS15/Datos!BM15," - ")</f>
        <v xml:space="preserve"> - </v>
      </c>
      <c r="J15" s="1045">
        <f>IF(ISNUMBER(Datos!BY15/Datos!CN15),Datos!BY15/Datos!CN15," - ")</f>
        <v>0</v>
      </c>
      <c r="K15" s="230">
        <f t="shared" ref="K15:K17" si="3">IF(ISNUMBER((E15-F15)/C15),(E15-F15)/C15," - ")</f>
        <v>5.1160960251869347E-3</v>
      </c>
      <c r="L15" s="1025">
        <f>IF(ISNUMBER(NºAsuntos!I15/NºAsuntos!G15),(NºAsuntos!I15/NºAsuntos!G15)*11," - ")</f>
        <v>7.469821855889391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8</v>
      </c>
      <c r="D16" s="225">
        <f>IF(ISNUMBER(IF(D_I="SI",Datos!I16,Datos!I16+Datos!AC16)),IF(D_I="SI",Datos!I16,Datos!I16+Datos!AC16)," - ")</f>
        <v>8</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8</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194</v>
      </c>
      <c r="D17" s="225">
        <f>IF(ISNUMBER(IF(D_I="SI",Datos!I17,Datos!I17+Datos!AC17)),IF(D_I="SI",Datos!I17,Datos!I17+Datos!AC17)," - ")</f>
        <v>265</v>
      </c>
      <c r="E17" s="226">
        <f>IF(ISNUMBER(IF(D_I="SI",Datos!J17,Datos!J17+Datos!AD17)),IF(D_I="SI",Datos!J17,Datos!J17+Datos!AD17)," - ")</f>
        <v>313</v>
      </c>
      <c r="F17" s="226">
        <f>IF(ISNUMBER(IF(D_I="SI",Datos!K17,Datos!K17+Datos!AE17)),IF(D_I="SI",Datos!K17,Datos!K17+Datos!AE17)," - ")</f>
        <v>315</v>
      </c>
      <c r="G17" s="1034" t="str">
        <f>IF(Datos!E17&lt;&gt;"",Datos!E17,Datos!D17)</f>
        <v>37</v>
      </c>
      <c r="H17" s="227">
        <f>IF(ISNUMBER(IF(D_I="SI",Datos!L17,Datos!L17+Datos!AF17)),IF(D_I="SI",Datos!L17,Datos!L17+Datos!AF17)," - ")</f>
        <v>192</v>
      </c>
      <c r="I17" s="1044" t="str">
        <f>IF(ISNUMBER(Datos!AS17/Datos!BM17),Datos!AS17/Datos!BM17," - ")</f>
        <v xml:space="preserve"> - </v>
      </c>
      <c r="J17" s="1045" t="str">
        <f>IF(ISNUMBER((Datos!BY17+Datos!BZ17)/Datos!CN17),(Datos!BY17+Datos!BZ17)/Datos!CN17," - ")</f>
        <v xml:space="preserve"> - </v>
      </c>
      <c r="K17" s="230">
        <f t="shared" si="3"/>
        <v>-1.0309278350515464E-2</v>
      </c>
      <c r="L17" s="1025">
        <f>IF(ISNUMBER(NºAsuntos!I17/NºAsuntos!G17),(NºAsuntos!I17/NºAsuntos!G17)*11," - ")</f>
        <v>6.7047619047619058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2743</v>
      </c>
      <c r="D18" s="1049">
        <f>SUBTOTAL(9,D15:D17)</f>
        <v>2807</v>
      </c>
      <c r="E18" s="1050">
        <f>SUBTOTAL(9,E15:E17)</f>
        <v>4087</v>
      </c>
      <c r="F18" s="1050">
        <f>SUBTOTAL(9,F15:F17)</f>
        <v>4076</v>
      </c>
      <c r="G18" s="1052" t="str">
        <f ca="1">INDIRECT(CONCATENATE("G",ROW()-1))</f>
        <v>37</v>
      </c>
      <c r="H18" s="1053">
        <f ca="1">SUMIF(G$14:G17,G18,H$14:H17)</f>
        <v>192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2832</v>
      </c>
      <c r="D19" s="1071">
        <f>SUBTOTAL(9,D9:D18)</f>
        <v>2896</v>
      </c>
      <c r="E19" s="1072">
        <f>SUBTOTAL(9,E9:E18)</f>
        <v>4107</v>
      </c>
      <c r="F19" s="1072">
        <f>SUBTOTAL(9,F9:F18)</f>
        <v>4102</v>
      </c>
      <c r="G19" s="1073"/>
      <c r="H19" s="1074">
        <f ca="1">SUMIF(B9:B18,"TOTAL",H9:H18)</f>
        <v>192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6NI1UMHKHZ+U7FOeZ1RlUDv1czInKfCynl/fziXZwHhx2RoJXaH47MMKqNU2mN0AfG5pyJdRqF+vVr1QCeDETQ==" saltValue="IK3z6VLeISHo+ZPPDf9v8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BjIq6E+xtuLNxxVcZBXqNXq9omcKJwHs0ABbxqo1AhP+6CoNgP4u6FE00NoevgZ3X/WFufxVxnU92IVvwmoyQ==" saltValue="xFLapkMte5L3q7jINGtxg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12303</v>
      </c>
      <c r="J9" s="181">
        <v>4902</v>
      </c>
      <c r="K9" s="181">
        <v>3252</v>
      </c>
      <c r="L9" s="181">
        <v>13960</v>
      </c>
      <c r="M9" s="181">
        <v>743</v>
      </c>
      <c r="N9" s="181">
        <v>2252</v>
      </c>
      <c r="O9" s="181">
        <v>626</v>
      </c>
      <c r="P9" s="181">
        <v>376</v>
      </c>
      <c r="Q9" s="181">
        <v>381</v>
      </c>
      <c r="R9" s="181">
        <v>10604</v>
      </c>
      <c r="S9" s="181">
        <v>9900</v>
      </c>
      <c r="T9" s="181">
        <v>3533</v>
      </c>
      <c r="U9" s="181">
        <v>2644</v>
      </c>
      <c r="V9" s="181">
        <v>10789</v>
      </c>
      <c r="W9" s="181">
        <v>497</v>
      </c>
      <c r="X9" s="188">
        <v>1609</v>
      </c>
      <c r="Y9" s="191">
        <v>310</v>
      </c>
      <c r="Z9" s="181">
        <v>104</v>
      </c>
      <c r="AA9" s="181">
        <v>110</v>
      </c>
      <c r="AB9" s="181">
        <v>304</v>
      </c>
      <c r="AC9" s="181">
        <v>0</v>
      </c>
      <c r="AD9" s="181">
        <v>0</v>
      </c>
      <c r="AE9" s="181">
        <v>0</v>
      </c>
      <c r="AF9" s="188">
        <v>0</v>
      </c>
      <c r="AG9" s="191">
        <v>261</v>
      </c>
      <c r="AH9" s="181">
        <v>161</v>
      </c>
      <c r="AI9" s="181">
        <v>75</v>
      </c>
      <c r="AJ9" s="192">
        <v>347</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10161</v>
      </c>
      <c r="AZ9" s="123">
        <f>IF(ISNUMBER(IF(J_V="SI",T9,T9+AH9)),IF(J_V="SI",T9,T9+AH9)," - ")</f>
        <v>3694</v>
      </c>
      <c r="BA9" s="124">
        <f>IF(ISNUMBER(IF(J_V="SI",U9,U9+AI9)),IF(J_V="SI",U9,U9+AI9)," - ")</f>
        <v>2719</v>
      </c>
      <c r="BB9" s="124">
        <f>IF(ISNUMBER(IF(J_V="SI",V9,V9+AJ9)),IF(J_V="SI",V9,V9+AJ9)," - ")</f>
        <v>11136</v>
      </c>
      <c r="BC9" s="125">
        <f>IF(ISNUMBER(X9),X9," - ")</f>
        <v>1609</v>
      </c>
      <c r="BD9" s="126">
        <f>IF(ISNUMBER(BA9/AZ9),BA9/AZ9," - ")</f>
        <v>0.73605847319978346</v>
      </c>
      <c r="BE9" s="127">
        <f>IF(ISNUMBER(BB9/BA9),BB9/BA9, " - ")</f>
        <v>4.0956233909525563</v>
      </c>
      <c r="BF9" s="127">
        <f>IF(ISNUMBER(BC9/BA9),BC9/BA9, " - ")</f>
        <v>0.59176167708716443</v>
      </c>
      <c r="BG9" s="196">
        <f>IF(ISNUMBER((AY9+AZ9)/BA9),(AY9+AZ9)/BA9," - ")</f>
        <v>5.0956233909525563</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89</v>
      </c>
      <c r="J10" s="181">
        <v>20</v>
      </c>
      <c r="K10" s="181">
        <v>26</v>
      </c>
      <c r="L10" s="181">
        <v>83</v>
      </c>
      <c r="M10" s="181">
        <v>9</v>
      </c>
      <c r="N10" s="181">
        <v>7</v>
      </c>
      <c r="O10" s="181">
        <v>0</v>
      </c>
      <c r="P10" s="181">
        <v>8</v>
      </c>
      <c r="Q10" s="181">
        <v>1</v>
      </c>
      <c r="R10" s="181">
        <v>51</v>
      </c>
      <c r="S10" s="181">
        <v>87</v>
      </c>
      <c r="T10" s="181">
        <v>32</v>
      </c>
      <c r="U10" s="181">
        <v>28</v>
      </c>
      <c r="V10" s="181">
        <v>91</v>
      </c>
      <c r="W10" s="181">
        <v>11</v>
      </c>
      <c r="X10" s="188">
        <v>13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87</v>
      </c>
      <c r="AZ10" s="129">
        <f t="shared" si="0"/>
        <v>32</v>
      </c>
      <c r="BA10" s="129">
        <f t="shared" si="0"/>
        <v>28</v>
      </c>
      <c r="BB10" s="129">
        <f t="shared" si="0"/>
        <v>91</v>
      </c>
      <c r="BC10" s="125">
        <f t="shared" si="0"/>
        <v>11</v>
      </c>
      <c r="BD10" s="126">
        <f>IF(ISNUMBER(BA10/AZ10),BA10/AZ10," - ")</f>
        <v>0.875</v>
      </c>
      <c r="BE10" s="127">
        <f>IF(ISNUMBER(BB10/BA10),BB10/BA10, " - ")</f>
        <v>3.25</v>
      </c>
      <c r="BF10" s="127">
        <f>IF(ISNUMBER(BC10/BA10),BC10/BA10, " - ")</f>
        <v>0.39285714285714285</v>
      </c>
      <c r="BG10" s="196">
        <f>IF(ISNUMBER((AY10+AZ10)/BA10),(AY10+AZ10)/BA10," - ")</f>
        <v>4.25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0</v>
      </c>
      <c r="J12" s="183">
        <v>0</v>
      </c>
      <c r="K12" s="183">
        <v>0</v>
      </c>
      <c r="L12" s="183">
        <v>0</v>
      </c>
      <c r="M12" s="183">
        <v>0</v>
      </c>
      <c r="N12" s="183">
        <v>0</v>
      </c>
      <c r="O12" s="181">
        <v>4</v>
      </c>
      <c r="P12" s="183">
        <v>0</v>
      </c>
      <c r="Q12" s="183">
        <v>17</v>
      </c>
      <c r="R12" s="183">
        <v>528</v>
      </c>
      <c r="S12" s="183">
        <v>6</v>
      </c>
      <c r="T12" s="183">
        <v>0</v>
      </c>
      <c r="U12" s="183">
        <v>0</v>
      </c>
      <c r="V12" s="183">
        <v>6</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794</v>
      </c>
      <c r="AT12" s="203"/>
      <c r="AU12" s="202"/>
      <c r="AV12" s="203"/>
      <c r="AW12" s="202"/>
      <c r="AX12" s="203"/>
      <c r="AY12" s="126">
        <f t="shared" si="1"/>
        <v>6</v>
      </c>
      <c r="AZ12" s="127">
        <f t="shared" si="1"/>
        <v>0</v>
      </c>
      <c r="BA12" s="127">
        <f t="shared" si="1"/>
        <v>0</v>
      </c>
      <c r="BB12" s="127">
        <f t="shared" si="1"/>
        <v>6</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12392</v>
      </c>
      <c r="J13" s="184">
        <f t="shared" si="6"/>
        <v>4922</v>
      </c>
      <c r="K13" s="184">
        <f t="shared" si="6"/>
        <v>3278</v>
      </c>
      <c r="L13" s="184">
        <f t="shared" si="6"/>
        <v>14043</v>
      </c>
      <c r="M13" s="184">
        <f t="shared" si="6"/>
        <v>752</v>
      </c>
      <c r="N13" s="184">
        <f t="shared" si="6"/>
        <v>2259</v>
      </c>
      <c r="O13" s="184">
        <f t="shared" si="6"/>
        <v>630</v>
      </c>
      <c r="P13" s="184">
        <f t="shared" si="6"/>
        <v>384</v>
      </c>
      <c r="Q13" s="184">
        <f t="shared" si="6"/>
        <v>399</v>
      </c>
      <c r="R13" s="184">
        <f t="shared" si="6"/>
        <v>11183</v>
      </c>
      <c r="S13" s="184">
        <f t="shared" si="6"/>
        <v>9993</v>
      </c>
      <c r="T13" s="184">
        <f t="shared" si="6"/>
        <v>3565</v>
      </c>
      <c r="U13" s="184">
        <f t="shared" si="6"/>
        <v>2672</v>
      </c>
      <c r="V13" s="184">
        <f t="shared" si="6"/>
        <v>10886</v>
      </c>
      <c r="W13" s="184">
        <f t="shared" si="6"/>
        <v>508</v>
      </c>
      <c r="X13" s="184">
        <f t="shared" si="6"/>
        <v>1622</v>
      </c>
      <c r="Y13" s="184">
        <f t="shared" si="6"/>
        <v>310</v>
      </c>
      <c r="Z13" s="184">
        <f t="shared" si="6"/>
        <v>104</v>
      </c>
      <c r="AA13" s="184">
        <f t="shared" si="6"/>
        <v>110</v>
      </c>
      <c r="AB13" s="184">
        <f t="shared" si="6"/>
        <v>304</v>
      </c>
      <c r="AC13" s="184">
        <f t="shared" si="6"/>
        <v>0</v>
      </c>
      <c r="AD13" s="184">
        <f t="shared" si="6"/>
        <v>0</v>
      </c>
      <c r="AE13" s="184">
        <f t="shared" si="6"/>
        <v>0</v>
      </c>
      <c r="AF13" s="184">
        <f>SUBTOTAL(9,AF9:AF12)</f>
        <v>0</v>
      </c>
      <c r="AG13" s="184">
        <f t="shared" ref="AG13:AT13" si="7">SUBTOTAL(9,AG8:AG12)</f>
        <v>261</v>
      </c>
      <c r="AH13" s="184">
        <f t="shared" si="7"/>
        <v>161</v>
      </c>
      <c r="AI13" s="184">
        <f t="shared" si="7"/>
        <v>75</v>
      </c>
      <c r="AJ13" s="184">
        <f t="shared" si="7"/>
        <v>347</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10254</v>
      </c>
      <c r="AZ13" s="184">
        <f>SUBTOTAL(9,AZ8:AZ12)</f>
        <v>3726</v>
      </c>
      <c r="BA13" s="184">
        <f>SUBTOTAL(9,BA8:BA12)</f>
        <v>2747</v>
      </c>
      <c r="BB13" s="184">
        <f>SUBTOTAL(9,BB8:BB12)</f>
        <v>11233</v>
      </c>
      <c r="BC13" s="184">
        <f>SUBTOTAL(9,BC8:BC12)</f>
        <v>1620</v>
      </c>
      <c r="BD13" s="205">
        <f>IF(ISNUMBER(BA13/AZ13),BA13/AZ13," - ")</f>
        <v>0.73725174449812136</v>
      </c>
      <c r="BE13" s="206">
        <f>IF(ISNUMBER(BB13/BA13),BB13/BA13, " - ")</f>
        <v>4.0891882053148887</v>
      </c>
      <c r="BF13" s="206">
        <f>IF(ISNUMBER(BC13/BA13),BC13/BA13, " - ")</f>
        <v>0.58973425555151071</v>
      </c>
      <c r="BG13" s="207">
        <f>IF(ISNUMBER((AY13+AZ13)/BA13),(AY13+AZ13)/BA13," - ")</f>
        <v>5.0891882053148887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2534</v>
      </c>
      <c r="J15" s="183">
        <v>3774</v>
      </c>
      <c r="K15" s="183">
        <v>3761</v>
      </c>
      <c r="L15" s="183">
        <v>2554</v>
      </c>
      <c r="M15" s="183">
        <v>389</v>
      </c>
      <c r="N15" s="183">
        <v>2851</v>
      </c>
      <c r="O15" s="181">
        <v>2</v>
      </c>
      <c r="P15" s="183">
        <v>128</v>
      </c>
      <c r="Q15" s="183">
        <v>100</v>
      </c>
      <c r="R15" s="183">
        <v>583</v>
      </c>
      <c r="S15" s="183">
        <v>2691</v>
      </c>
      <c r="T15" s="183">
        <v>3227</v>
      </c>
      <c r="U15" s="183">
        <v>2683</v>
      </c>
      <c r="V15" s="183">
        <v>3235</v>
      </c>
      <c r="W15" s="183">
        <v>253</v>
      </c>
      <c r="X15" s="189">
        <v>2045</v>
      </c>
      <c r="Y15" s="202">
        <v>0</v>
      </c>
      <c r="Z15" s="183">
        <v>0</v>
      </c>
      <c r="AA15" s="183">
        <v>0</v>
      </c>
      <c r="AB15" s="183">
        <v>0</v>
      </c>
      <c r="AC15" s="183">
        <v>0</v>
      </c>
      <c r="AD15" s="183">
        <v>1</v>
      </c>
      <c r="AE15" s="183">
        <v>0</v>
      </c>
      <c r="AF15" s="189">
        <v>1</v>
      </c>
      <c r="AG15" s="202">
        <v>0</v>
      </c>
      <c r="AH15" s="183">
        <v>0</v>
      </c>
      <c r="AI15" s="183">
        <v>0</v>
      </c>
      <c r="AJ15" s="203">
        <v>0</v>
      </c>
      <c r="AK15" s="182">
        <v>0</v>
      </c>
      <c r="AL15" s="183">
        <v>0</v>
      </c>
      <c r="AM15" s="183">
        <v>0</v>
      </c>
      <c r="AN15" s="189">
        <v>0</v>
      </c>
      <c r="AO15" s="259">
        <v>4</v>
      </c>
      <c r="AP15" s="155">
        <v>4</v>
      </c>
      <c r="AQ15" s="155">
        <v>4</v>
      </c>
      <c r="AR15" s="155">
        <v>4</v>
      </c>
      <c r="AS15" s="340" t="s">
        <v>519</v>
      </c>
      <c r="AT15" s="203" t="s">
        <v>326</v>
      </c>
      <c r="AU15" s="202"/>
      <c r="AV15" s="203"/>
      <c r="AW15" s="202"/>
      <c r="AX15" s="203"/>
      <c r="AY15" s="128">
        <f t="shared" ref="AY15:BB16" si="9">IF(ISNUMBER(IF(D_I="SI",S15,S15+AK15)),IF(D_I="SI",S15,S15+AK15)," - ")</f>
        <v>2691</v>
      </c>
      <c r="AZ15" s="129">
        <f t="shared" si="9"/>
        <v>3227</v>
      </c>
      <c r="BA15" s="129">
        <f t="shared" si="9"/>
        <v>2683</v>
      </c>
      <c r="BB15" s="129">
        <f t="shared" si="9"/>
        <v>3235</v>
      </c>
      <c r="BC15" s="125">
        <f>IF(ISNUMBER(W15),W15," - ")</f>
        <v>253</v>
      </c>
      <c r="BD15" s="126">
        <f>IF(ISNUMBER(BA15/AZ15),BA15/AZ15," - ")</f>
        <v>0.83142237372172301</v>
      </c>
      <c r="BE15" s="127">
        <f>IF(ISNUMBER(BB15/BA15),BB15/BA15, " - ")</f>
        <v>1.2057398434588147</v>
      </c>
      <c r="BF15" s="127">
        <f>IF(ISNUMBER(BC15/BA15),BC15/BA15, " - ")</f>
        <v>9.4297428251956764E-2</v>
      </c>
      <c r="BG15" s="196">
        <f t="shared" ref="BG15:BG16" si="10">IF(ISNUMBER((AY15+AZ15)/BA15),(AY15+AZ15)/BA15," - ")</f>
        <v>2.2057398434588147</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v>
      </c>
      <c r="J16" s="183">
        <v>0</v>
      </c>
      <c r="K16" s="183">
        <v>0</v>
      </c>
      <c r="L16" s="183">
        <v>8</v>
      </c>
      <c r="M16" s="183">
        <v>0</v>
      </c>
      <c r="N16" s="183">
        <v>0</v>
      </c>
      <c r="O16" s="181">
        <v>0</v>
      </c>
      <c r="P16" s="183">
        <v>0</v>
      </c>
      <c r="Q16" s="183">
        <v>2</v>
      </c>
      <c r="R16" s="183">
        <v>0</v>
      </c>
      <c r="S16" s="183">
        <v>9</v>
      </c>
      <c r="T16" s="183">
        <v>0</v>
      </c>
      <c r="U16" s="183">
        <v>0</v>
      </c>
      <c r="V16" s="183">
        <v>9</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9</v>
      </c>
      <c r="AZ16" s="127">
        <f t="shared" si="9"/>
        <v>0</v>
      </c>
      <c r="BA16" s="127">
        <f t="shared" si="9"/>
        <v>0</v>
      </c>
      <c r="BB16" s="127">
        <f t="shared" si="9"/>
        <v>9</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265</v>
      </c>
      <c r="J17" s="183">
        <v>313</v>
      </c>
      <c r="K17" s="183">
        <v>315</v>
      </c>
      <c r="L17" s="183">
        <v>192</v>
      </c>
      <c r="M17" s="183">
        <v>51</v>
      </c>
      <c r="N17" s="183">
        <v>214</v>
      </c>
      <c r="O17" s="183">
        <v>0</v>
      </c>
      <c r="P17" s="183">
        <v>0</v>
      </c>
      <c r="Q17" s="183">
        <v>8</v>
      </c>
      <c r="R17" s="183">
        <v>25</v>
      </c>
      <c r="S17" s="183">
        <v>155</v>
      </c>
      <c r="T17" s="183">
        <v>233</v>
      </c>
      <c r="U17" s="183">
        <v>230</v>
      </c>
      <c r="V17" s="183">
        <v>158</v>
      </c>
      <c r="W17" s="183">
        <v>60</v>
      </c>
      <c r="X17" s="189">
        <v>168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155</v>
      </c>
      <c r="AZ17" s="129">
        <f t="shared" si="14"/>
        <v>233</v>
      </c>
      <c r="BA17" s="129">
        <f t="shared" si="14"/>
        <v>230</v>
      </c>
      <c r="BB17" s="129">
        <f t="shared" si="14"/>
        <v>158</v>
      </c>
      <c r="BC17" s="125">
        <f>IF(ISNUMBER(W17),W17," - ")</f>
        <v>60</v>
      </c>
      <c r="BD17" s="126">
        <f>IF(ISNUMBER(BA17/AZ17),BA17/AZ17," - ")</f>
        <v>0.98712446351931327</v>
      </c>
      <c r="BE17" s="127">
        <f>IF(ISNUMBER(BB17/BA17),BB17/BA17, " - ")</f>
        <v>0.68695652173913047</v>
      </c>
      <c r="BF17" s="127">
        <f>IF(ISNUMBER(BC17/BA17),BC17/BA17, " - ")</f>
        <v>0.2608695652173913</v>
      </c>
      <c r="BG17" s="196">
        <f>IF(ISNUMBER((AY17+AZ17)/BA17),(AY17+AZ17)/BA17," - ")</f>
        <v>1.6869565217391305</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2807</v>
      </c>
      <c r="J18" s="184">
        <f t="shared" si="15"/>
        <v>4087</v>
      </c>
      <c r="K18" s="184">
        <f t="shared" si="15"/>
        <v>4076</v>
      </c>
      <c r="L18" s="184">
        <f t="shared" si="15"/>
        <v>2754</v>
      </c>
      <c r="M18" s="184">
        <f t="shared" si="15"/>
        <v>440</v>
      </c>
      <c r="N18" s="184">
        <f t="shared" si="15"/>
        <v>3065</v>
      </c>
      <c r="O18" s="184">
        <f t="shared" si="15"/>
        <v>2</v>
      </c>
      <c r="P18" s="184">
        <f t="shared" si="15"/>
        <v>128</v>
      </c>
      <c r="Q18" s="184">
        <f t="shared" si="15"/>
        <v>110</v>
      </c>
      <c r="R18" s="184">
        <f t="shared" si="15"/>
        <v>608</v>
      </c>
      <c r="S18" s="184">
        <f t="shared" si="15"/>
        <v>2855</v>
      </c>
      <c r="T18" s="184">
        <f t="shared" si="15"/>
        <v>3460</v>
      </c>
      <c r="U18" s="184">
        <f t="shared" si="15"/>
        <v>2913</v>
      </c>
      <c r="V18" s="184">
        <f t="shared" si="15"/>
        <v>3402</v>
      </c>
      <c r="W18" s="184">
        <f t="shared" si="15"/>
        <v>313</v>
      </c>
      <c r="X18" s="184">
        <f t="shared" si="15"/>
        <v>2213</v>
      </c>
      <c r="Y18" s="184">
        <f t="shared" si="15"/>
        <v>0</v>
      </c>
      <c r="Z18" s="184">
        <f t="shared" si="15"/>
        <v>0</v>
      </c>
      <c r="AA18" s="184">
        <f t="shared" si="15"/>
        <v>0</v>
      </c>
      <c r="AB18" s="184">
        <f t="shared" si="15"/>
        <v>0</v>
      </c>
      <c r="AC18" s="184">
        <f t="shared" si="15"/>
        <v>0</v>
      </c>
      <c r="AD18" s="184">
        <f t="shared" si="15"/>
        <v>1</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2855</v>
      </c>
      <c r="AZ18" s="184">
        <f>SUBTOTAL(9,AZ14:AZ17)</f>
        <v>3460</v>
      </c>
      <c r="BA18" s="184">
        <f>SUBTOTAL(9,BA14:BA17)</f>
        <v>2913</v>
      </c>
      <c r="BB18" s="184">
        <f>SUBTOTAL(9,BB14:BB17)</f>
        <v>3402</v>
      </c>
      <c r="BC18" s="184">
        <f>SUBTOTAL(9,BC14:BC17)</f>
        <v>313</v>
      </c>
      <c r="BD18" s="205">
        <f>IF(ISNUMBER(BA18/AZ18),BA18/AZ18," - ")</f>
        <v>0.84190751445086709</v>
      </c>
      <c r="BE18" s="206">
        <f>IF(ISNUMBER(BB18/BA18),BB18/BA18, " - ")</f>
        <v>1.1678681771369721</v>
      </c>
      <c r="BF18" s="206">
        <f>IF(ISNUMBER(BC18/BA18),BC18/BA18, " - ")</f>
        <v>0.10744936491589427</v>
      </c>
      <c r="BG18" s="207">
        <f>IF(ISNUMBER((AY18+AZ18)/BA18),(AY18+AZ18)/BA18," - ")</f>
        <v>2.1678681771369721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15199</v>
      </c>
      <c r="J19" s="134">
        <f t="shared" si="18"/>
        <v>9009</v>
      </c>
      <c r="K19" s="134">
        <f t="shared" si="18"/>
        <v>7354</v>
      </c>
      <c r="L19" s="134">
        <f t="shared" si="18"/>
        <v>16797</v>
      </c>
      <c r="M19" s="134">
        <f t="shared" si="18"/>
        <v>1192</v>
      </c>
      <c r="N19" s="134">
        <f t="shared" si="18"/>
        <v>5324</v>
      </c>
      <c r="O19" s="134">
        <f t="shared" si="18"/>
        <v>632</v>
      </c>
      <c r="P19" s="134">
        <f t="shared" si="18"/>
        <v>512</v>
      </c>
      <c r="Q19" s="134">
        <f t="shared" si="18"/>
        <v>509</v>
      </c>
      <c r="R19" s="134">
        <f t="shared" si="18"/>
        <v>11791</v>
      </c>
      <c r="S19" s="134">
        <f t="shared" si="18"/>
        <v>12848</v>
      </c>
      <c r="T19" s="134">
        <f t="shared" si="18"/>
        <v>7025</v>
      </c>
      <c r="U19" s="134">
        <f t="shared" si="18"/>
        <v>5585</v>
      </c>
      <c r="V19" s="134">
        <f t="shared" si="18"/>
        <v>14288</v>
      </c>
      <c r="W19" s="134">
        <f t="shared" si="18"/>
        <v>821</v>
      </c>
      <c r="X19" s="134">
        <f t="shared" si="18"/>
        <v>3835</v>
      </c>
      <c r="Y19" s="134">
        <f t="shared" si="18"/>
        <v>310</v>
      </c>
      <c r="Z19" s="134">
        <f t="shared" si="18"/>
        <v>104</v>
      </c>
      <c r="AA19" s="134">
        <f t="shared" si="18"/>
        <v>110</v>
      </c>
      <c r="AB19" s="134">
        <f t="shared" si="18"/>
        <v>304</v>
      </c>
      <c r="AC19" s="134">
        <f t="shared" si="18"/>
        <v>0</v>
      </c>
      <c r="AD19" s="134">
        <f t="shared" si="18"/>
        <v>1</v>
      </c>
      <c r="AE19" s="134">
        <f t="shared" si="18"/>
        <v>0</v>
      </c>
      <c r="AF19" s="134">
        <f t="shared" si="18"/>
        <v>1</v>
      </c>
      <c r="AG19" s="134">
        <f t="shared" si="18"/>
        <v>261</v>
      </c>
      <c r="AH19" s="134">
        <f t="shared" si="18"/>
        <v>161</v>
      </c>
      <c r="AI19" s="134">
        <f t="shared" si="18"/>
        <v>75</v>
      </c>
      <c r="AJ19" s="134">
        <f t="shared" si="18"/>
        <v>347</v>
      </c>
      <c r="AK19" s="134">
        <f t="shared" si="18"/>
        <v>0</v>
      </c>
      <c r="AL19" s="134">
        <f t="shared" si="18"/>
        <v>0</v>
      </c>
      <c r="AM19" s="134">
        <f t="shared" si="18"/>
        <v>0</v>
      </c>
      <c r="AN19" s="210">
        <f t="shared" si="18"/>
        <v>0</v>
      </c>
      <c r="AO19" s="211">
        <v>11</v>
      </c>
      <c r="AP19" s="211">
        <v>11</v>
      </c>
      <c r="AQ19" s="211">
        <v>11</v>
      </c>
      <c r="AR19" s="211">
        <v>11</v>
      </c>
      <c r="AS19" s="153">
        <f t="shared" si="18"/>
        <v>0</v>
      </c>
      <c r="AT19" s="153">
        <f t="shared" si="18"/>
        <v>0</v>
      </c>
      <c r="AU19" s="211"/>
      <c r="AV19" s="212"/>
      <c r="AW19" s="211"/>
      <c r="AX19" s="212"/>
      <c r="AY19" s="133">
        <f>SUBTOTAL(9,AY9:AY18)</f>
        <v>13109</v>
      </c>
      <c r="AZ19" s="134">
        <f>SUBTOTAL(9,AZ9:AZ18)</f>
        <v>7186</v>
      </c>
      <c r="BA19" s="134">
        <f>SUBTOTAL(9,BA9:BA18)</f>
        <v>5660</v>
      </c>
      <c r="BB19" s="134">
        <f>SUBTOTAL(9,BB9:BB18)</f>
        <v>14635</v>
      </c>
      <c r="BC19" s="135">
        <f>SUBTOTAL(9,BC9:BC18)</f>
        <v>1933</v>
      </c>
      <c r="BD19" s="213">
        <f>IF(ISNUMBER(BA19/AZ19),BA19/AZ19," - ")</f>
        <v>0.78764263846367932</v>
      </c>
      <c r="BE19" s="210">
        <f>IF(ISNUMBER(BB19/BA19),BB19/BA19, " - ")</f>
        <v>2.5856890459363959</v>
      </c>
      <c r="BF19" s="210">
        <f>IF(ISNUMBER(BC19/BA19),BC19/BA19, " - ")</f>
        <v>0.34151943462897527</v>
      </c>
      <c r="BG19" s="135">
        <f>IF(ISNUMBER((AY19+AZ19)/BA19),(AY19+AZ19)/BA19," - ")</f>
        <v>3.5856890459363959</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rMxn0K5rskbrlDIlTxqYwmieLE21mPt5Po/NOxdjEobvybmrr3E4XQJpuOsZy23SjZ0LMhxEdoMKiE+5KkUuA==" saltValue="BjqmTFJZzdKmFzNTmANc5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ZgAC7/13lxa2Yt68LR+U3fjAC5HO/MdeuHl5En2cuvfcHb0GZM/xDWxpL3qFFT4URIqJUP7R8ObvHMiA2Egxw==" saltValue="igP7Smu3gAFA3kEkJ4YJR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SAN BARTOLOME DE TIRAJANA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104</v>
      </c>
      <c r="O9" s="334"/>
      <c r="P9" s="334"/>
      <c r="Q9" s="226">
        <f>IF(ISNUMBER(Datos!P9),Datos!P9,0)</f>
        <v>376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381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304</v>
      </c>
      <c r="AI9" s="334" t="str">
        <f>IF(ISNUMBER(Datos!CD9),Datos!CD9,"-")</f>
        <v>-</v>
      </c>
      <c r="AJ9" s="334" t="str">
        <f>IF(ISNUMBER(Datos!EN9),Datos!EN9," - ")</f>
        <v xml:space="preserve"> - </v>
      </c>
      <c r="AK9" s="334"/>
      <c r="AL9" s="479"/>
      <c r="AM9" s="335">
        <f>IF(ISNUMBER(Datos!R9),Datos!R9," - ")</f>
        <v>10604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743</v>
      </c>
      <c r="BD9" s="229">
        <f>IF(ISNUMBER(Datos!N9),Datos!N9," - ")</f>
        <v>2252</v>
      </c>
      <c r="BE9" s="229" t="str">
        <f>IF(ISNUMBER(Datos!BW9),Datos!BW9," - ")</f>
        <v xml:space="preserve"> - </v>
      </c>
      <c r="BF9" s="228" t="str">
        <f>IF(ISNUMBER(Datos!BX9),Datos!BX9," - ")</f>
        <v xml:space="preserve"> - </v>
      </c>
      <c r="BG9" s="243">
        <f>IF(ISNUMBER(IF(J_V="SI",Datos!K9/Datos!J9,(Datos!K9+Datos!AA9)/(Datos!J9+Datos!Z9))),IF(J_V="SI",Datos!K9/Datos!J9,(Datos!K9+Datos!AA9)/(Datos!J9+Datos!Z9))," - ")</f>
        <v>0.6715940870954854</v>
      </c>
      <c r="BH9" s="260">
        <f>IF(ISNUMBER(((IF(J_V="SI",Datos!L9/Datos!K9,(Datos!L9+Datos!AB9)/(Datos!K9+Datos!AA9)))*11)/factor_trimestre),((IF(J_V="SI",Datos!L9/Datos!K9,(Datos!L9+Datos!AB9)/(Datos!K9+Datos!AA9)))*11)/factor_trimestre," - ")</f>
        <v>12.728138013087449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-4.7129795456687717E-4</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89</v>
      </c>
      <c r="G10" s="333">
        <f>IF(ISNUMBER(Datos!I10),Datos!I10," - ")</f>
        <v>89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26</v>
      </c>
      <c r="AC10" s="226">
        <f>IF(ISNUMBER(Datos!Q10),Datos!Q10," - ")</f>
        <v>1</v>
      </c>
      <c r="AD10" s="334"/>
      <c r="AE10" s="484"/>
      <c r="AF10" s="332">
        <f>IF(ISNUMBER(Datos!L10),Datos!L10,"-")</f>
        <v>83</v>
      </c>
      <c r="AG10" s="334"/>
      <c r="AH10" s="334"/>
      <c r="AI10" s="334"/>
      <c r="AJ10" s="334"/>
      <c r="AK10" s="334"/>
      <c r="AL10" s="479"/>
      <c r="AM10" s="335">
        <f>IF(ISNUMBER(Datos!R10),Datos!R10," - ")</f>
        <v>51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7</v>
      </c>
      <c r="BE10" s="229" t="str">
        <f>IF(ISNUMBER(Datos!BW10),Datos!BW10," - ")</f>
        <v xml:space="preserve"> - </v>
      </c>
      <c r="BF10" s="228" t="str">
        <f>IF(ISNUMBER(Datos!BX10),Datos!BX10," - ")</f>
        <v xml:space="preserve"> - </v>
      </c>
      <c r="BG10" s="243">
        <f>IF(ISNUMBER(Datos!K10/Datos!J10),Datos!K10/Datos!J10," - ")</f>
        <v>1.3</v>
      </c>
      <c r="BH10" s="260">
        <f>IF(ISNUMBER(((Datos!L10/Datos!K10)*11)/factor_trimestre),((Datos!L10/Datos!K10)*11)/factor_trimestre," - ")</f>
        <v>9.5769230769230784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0.15909090909090909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528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-3.1192660550458717E-2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89</v>
      </c>
      <c r="G13" s="898">
        <f t="shared" si="0"/>
        <v>89</v>
      </c>
      <c r="H13" s="899">
        <f t="shared" si="0"/>
        <v>0</v>
      </c>
      <c r="I13" s="898">
        <f t="shared" si="0"/>
        <v>0</v>
      </c>
      <c r="J13" s="867">
        <f t="shared" si="0"/>
        <v>0</v>
      </c>
      <c r="K13" s="867">
        <f t="shared" si="0"/>
        <v>0</v>
      </c>
      <c r="L13" s="899">
        <f t="shared" si="0"/>
        <v>0</v>
      </c>
      <c r="M13" s="899">
        <f t="shared" si="0"/>
        <v>0</v>
      </c>
      <c r="N13" s="899">
        <f t="shared" si="0"/>
        <v>104</v>
      </c>
      <c r="O13" s="900">
        <f t="shared" si="0"/>
        <v>0</v>
      </c>
      <c r="P13" s="900">
        <f t="shared" si="0"/>
        <v>0</v>
      </c>
      <c r="Q13" s="899">
        <f t="shared" si="0"/>
        <v>384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26</v>
      </c>
      <c r="AC13" s="899">
        <f t="shared" si="1"/>
        <v>399</v>
      </c>
      <c r="AD13" s="899">
        <f t="shared" si="1"/>
        <v>0</v>
      </c>
      <c r="AE13" s="899">
        <f t="shared" si="1"/>
        <v>0</v>
      </c>
      <c r="AF13" s="899">
        <f t="shared" si="1"/>
        <v>83</v>
      </c>
      <c r="AG13" s="899">
        <f t="shared" si="1"/>
        <v>0</v>
      </c>
      <c r="AH13" s="899">
        <f t="shared" si="1"/>
        <v>304</v>
      </c>
      <c r="AI13" s="899">
        <f t="shared" si="1"/>
        <v>0</v>
      </c>
      <c r="AJ13" s="899">
        <f t="shared" si="1"/>
        <v>0</v>
      </c>
      <c r="AK13" s="899">
        <f t="shared" si="1"/>
        <v>0</v>
      </c>
      <c r="AL13" s="899">
        <f t="shared" si="1"/>
        <v>0</v>
      </c>
      <c r="AM13" s="899">
        <f t="shared" si="1"/>
        <v>11183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752</v>
      </c>
      <c r="BD13" s="899">
        <f t="shared" si="1"/>
        <v>2259</v>
      </c>
      <c r="BE13" s="899">
        <f t="shared" si="1"/>
        <v>0</v>
      </c>
      <c r="BF13" s="899">
        <f t="shared" si="1"/>
        <v>0</v>
      </c>
      <c r="BG13" s="899">
        <f>IF(ISNUMBER(Datos!K13/Datos!J13),Datos!K13/Datos!J13," - ")</f>
        <v>0.6659894351889476</v>
      </c>
      <c r="BH13" s="903">
        <f>IF(ISNUMBER(((Datos!L13/Datos!K13)*11)/factor_trimestre),((Datos!L13/Datos!K13)*11)/factor_trimestre," - ")</f>
        <v>12.852043929225138</v>
      </c>
      <c r="BI13" s="899">
        <f>IF(ISNUMBER('Resol  Asuntos'!D13/NºAsuntos!G13),'Resol  Asuntos'!D13/NºAsuntos!G13," - ")</f>
        <v>0.22195985832349469</v>
      </c>
      <c r="BJ13" s="899" t="str">
        <f>IF(ISNUMBER(Datos!CI13/Datos!CJ13),Datos!CI13/Datos!CJ13," - ")</f>
        <v xml:space="preserve"> - </v>
      </c>
      <c r="BK13" s="899">
        <f>SUBTOTAL(9,BK8:BK12)</f>
        <v>0</v>
      </c>
      <c r="BL13" s="899">
        <f>IF(ISNUMBER((I13-AB13+L13)/(F13)),(I13-AB13+L13)/(F13)," - ")</f>
        <v>-0.29213483146067415</v>
      </c>
      <c r="BM13" s="904">
        <f>SUBTOTAL(9,BM9:BM12)</f>
        <v>0.12742695058588349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2541</v>
      </c>
      <c r="G15" s="598">
        <f>IF(ISNUMBER(IF(D_I="SI",Datos!I15,Datos!I15+Datos!AC15)),IF(D_I="SI",Datos!I15,Datos!I15+Datos!AC15)," - ")</f>
        <v>2534</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128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3761</v>
      </c>
      <c r="AC15" s="226">
        <f>IF(ISNUMBER(Datos!Q15),Datos!Q15," - ")</f>
        <v>100</v>
      </c>
      <c r="AD15" s="334"/>
      <c r="AE15" s="484"/>
      <c r="AF15" s="596">
        <f>IF(ISNUMBER(IF(D_I="SI",Datos!L15,Datos!L15+Datos!AF15)),IF(D_I="SI",Datos!L15,Datos!L15+Datos!AF15)," - ")</f>
        <v>2554</v>
      </c>
      <c r="AG15" s="334"/>
      <c r="AH15" s="334"/>
      <c r="AI15" s="334"/>
      <c r="AJ15" s="334"/>
      <c r="AK15" s="334"/>
      <c r="AL15" s="479"/>
      <c r="AM15" s="335">
        <f>IF(ISNUMBER(Datos!R15),Datos!R15," - ")</f>
        <v>583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389</v>
      </c>
      <c r="BD15" s="229">
        <f>IF(ISNUMBER(Datos!N15),Datos!N15," - ")</f>
        <v>2851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0.99655537890832013</v>
      </c>
      <c r="BH15" s="260">
        <f>IF(ISNUMBER(((IF(D_I="SI",Datos!L15/Datos!K15,(Datos!L15+Datos!AF15)/(Datos!K15+Datos!AE15)))*11)/factor_trimestre),((IF(D_I="SI",Datos!L15/Datos!K15,(Datos!L15+Datos!AF15)/(Datos!K15+Datos!AE15)))*11)/factor_trimestre," - ")</f>
        <v>2.0372241425152886</v>
      </c>
      <c r="BI15" s="243">
        <f>IF(ISNUMBER('Resol  Asuntos'!D15/NºAsuntos!G15),'Resol  Asuntos'!D15/NºAsuntos!G15," - ")</f>
        <v>0.10342993884605159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8</v>
      </c>
      <c r="G16" s="598">
        <f>IF(ISNUMBER(IF(D_I="SI",Datos!I16,Datos!I16+Datos!AC16)),IF(D_I="SI",Datos!I16,Datos!I16+Datos!AC16)," - ")</f>
        <v>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2</v>
      </c>
      <c r="AD16" s="334"/>
      <c r="AE16" s="484"/>
      <c r="AF16" s="596">
        <f>IF(ISNUMBER(IF(D_I="SI",Datos!L16,Datos!L16+Datos!AF16)),IF(D_I="SI",Datos!L16,Datos!L16+Datos!AF16)," - ")</f>
        <v>8</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265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315</v>
      </c>
      <c r="AC17" s="226">
        <f>IF(ISNUMBER(Datos!Q17),Datos!Q17," - ")</f>
        <v>8</v>
      </c>
      <c r="AD17" s="334"/>
      <c r="AE17" s="484"/>
      <c r="AF17" s="332">
        <f>IF(ISNUMBER(Datos!L17),Datos!L17,"-")</f>
        <v>192</v>
      </c>
      <c r="AG17" s="334"/>
      <c r="AH17" s="334"/>
      <c r="AI17" s="334"/>
      <c r="AJ17" s="334"/>
      <c r="AK17" s="334"/>
      <c r="AL17" s="479"/>
      <c r="AM17" s="335">
        <f>IF(ISNUMBER(Datos!R17),Datos!R17," - ")</f>
        <v>25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51</v>
      </c>
      <c r="BD17" s="229">
        <f>IF(ISNUMBER(Datos!N17),Datos!N17," - ")</f>
        <v>214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1.0063897763578276</v>
      </c>
      <c r="BH17" s="260">
        <f>IF(ISNUMBER(((IF(D_I="SI",Datos!L17/Datos!K17,(Datos!L17+Datos!AF17)/(Datos!K17+Datos!AE17)))*11)/factor_trimestre),((IF(D_I="SI",Datos!L17/Datos!K17,(Datos!L17+Datos!AF17)/(Datos!K17+Datos!AE17)))*11)/factor_trimestre," - ")</f>
        <v>1.828571428571429</v>
      </c>
      <c r="BI17" s="243">
        <f>IF(ISNUMBER('Resol  Asuntos'!D17/NºAsuntos!G17),'Resol  Asuntos'!D17/NºAsuntos!G17," - ")</f>
        <v>0.16190476190476191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2549</v>
      </c>
      <c r="G18" s="898">
        <f>SUBTOTAL(9,G15:G17)</f>
        <v>2807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4076</v>
      </c>
      <c r="AC18" s="899">
        <f t="shared" si="4"/>
        <v>110</v>
      </c>
      <c r="AD18" s="899">
        <f t="shared" si="4"/>
        <v>0</v>
      </c>
      <c r="AE18" s="899">
        <f t="shared" si="4"/>
        <v>0</v>
      </c>
      <c r="AF18" s="899">
        <f t="shared" si="4"/>
        <v>2754</v>
      </c>
      <c r="AG18" s="899">
        <f t="shared" si="4"/>
        <v>0</v>
      </c>
      <c r="AH18" s="899">
        <f t="shared" si="4"/>
        <v>0</v>
      </c>
      <c r="AI18" s="899">
        <f t="shared" si="4"/>
        <v>0</v>
      </c>
      <c r="AJ18" s="899">
        <f t="shared" si="4"/>
        <v>0</v>
      </c>
      <c r="AK18" s="899">
        <f t="shared" si="4"/>
        <v>0</v>
      </c>
      <c r="AL18" s="899">
        <f t="shared" si="4"/>
        <v>0</v>
      </c>
      <c r="AM18" s="899">
        <f t="shared" si="4"/>
        <v>608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440</v>
      </c>
      <c r="BD18" s="899">
        <f t="shared" si="4"/>
        <v>3065</v>
      </c>
      <c r="BE18" s="899">
        <f t="shared" si="4"/>
        <v>0</v>
      </c>
      <c r="BF18" s="899">
        <f t="shared" si="4"/>
        <v>0</v>
      </c>
      <c r="BG18" s="899">
        <f>IF(ISNUMBER(Datos!K18/Datos!J18),Datos!K18/Datos!J18," - ")</f>
        <v>0.99730853927085883</v>
      </c>
      <c r="BH18" s="903">
        <f>IF(ISNUMBER(((Datos!L18/Datos!K18)*11)/factor_trimestre),((Datos!L18/Datos!K18)*11)/factor_trimestre," - ")</f>
        <v>2.0269872423945046</v>
      </c>
      <c r="BI18" s="899">
        <f>SUBTOTAL(9,BI15:BI17)</f>
        <v>0.2653347007508135</v>
      </c>
      <c r="BJ18" s="899">
        <f>SUBTOTAL(9,BJ15:BJ17)</f>
        <v>0</v>
      </c>
      <c r="BK18" s="899">
        <f>SUBTOTAL(9,BK15:BK17)</f>
        <v>0</v>
      </c>
      <c r="BL18" s="899">
        <f>IF(ISNUMBER((I18-AB18+L18)/(F18)),(I18-AB18+L18)/(F18)," - ")</f>
        <v>-1.5990584542958022</v>
      </c>
      <c r="BM18" s="905">
        <f>IF(ISNUMBER((Datos!P18-Datos!Q18)/(Datos!R18-Datos!P18+Datos!Q18)),(Datos!P18-Datos!Q18)/(Datos!R18-Datos!P18+Datos!Q18)," - ")</f>
        <v>3.0508474576271188E-2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2638</v>
      </c>
      <c r="G19" s="820">
        <f t="shared" si="6"/>
        <v>2896</v>
      </c>
      <c r="H19" s="822">
        <f t="shared" si="6"/>
        <v>0</v>
      </c>
      <c r="I19" s="820">
        <f t="shared" si="6"/>
        <v>0</v>
      </c>
      <c r="J19" s="822">
        <f t="shared" si="6"/>
        <v>0</v>
      </c>
      <c r="K19" s="822">
        <f t="shared" si="6"/>
        <v>0</v>
      </c>
      <c r="L19" s="881">
        <f t="shared" si="6"/>
        <v>0</v>
      </c>
      <c r="M19" s="881">
        <f t="shared" si="6"/>
        <v>0</v>
      </c>
      <c r="N19" s="881">
        <f t="shared" si="6"/>
        <v>104</v>
      </c>
      <c r="O19" s="881">
        <f t="shared" si="6"/>
        <v>0</v>
      </c>
      <c r="P19" s="881">
        <f t="shared" si="6"/>
        <v>0</v>
      </c>
      <c r="Q19" s="822">
        <f t="shared" si="6"/>
        <v>512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4102</v>
      </c>
      <c r="AC19" s="821">
        <f t="shared" si="7"/>
        <v>509</v>
      </c>
      <c r="AD19" s="821">
        <f t="shared" si="7"/>
        <v>0</v>
      </c>
      <c r="AE19" s="821">
        <f t="shared" si="7"/>
        <v>0</v>
      </c>
      <c r="AF19" s="828">
        <f t="shared" si="7"/>
        <v>2837</v>
      </c>
      <c r="AG19" s="828">
        <f t="shared" si="7"/>
        <v>0</v>
      </c>
      <c r="AH19" s="828">
        <f t="shared" si="7"/>
        <v>304</v>
      </c>
      <c r="AI19" s="828">
        <f t="shared" si="7"/>
        <v>0</v>
      </c>
      <c r="AJ19" s="821">
        <f t="shared" si="7"/>
        <v>0</v>
      </c>
      <c r="AK19" s="828">
        <f t="shared" si="7"/>
        <v>0</v>
      </c>
      <c r="AL19" s="828">
        <f t="shared" si="7"/>
        <v>0</v>
      </c>
      <c r="AM19" s="828">
        <f t="shared" si="7"/>
        <v>11791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1192</v>
      </c>
      <c r="BD19" s="820">
        <f t="shared" si="7"/>
        <v>5324</v>
      </c>
      <c r="BE19" s="820">
        <f t="shared" si="7"/>
        <v>0</v>
      </c>
      <c r="BF19" s="830">
        <f t="shared" si="7"/>
        <v>0</v>
      </c>
      <c r="BG19" s="915">
        <f>IF(ISNUMBER(Datos!K19/Datos!J19),Datos!K19/Datos!J19," - ")</f>
        <v>0.81629481629481626</v>
      </c>
      <c r="BH19" s="915">
        <f>IF(ISNUMBER(((Datos!L19/Datos!K19)*11)/factor_trimestre),((Datos!L19/Datos!K19)*11)/factor_trimestre," - ")</f>
        <v>6.8521892847429973</v>
      </c>
      <c r="BI19" s="813">
        <f>IF(ISNUMBER(Datos!J19/Datos!I19),Datos!J19/Datos!I19," - ")</f>
        <v>0.59273636423448917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-1.5549658832448825</v>
      </c>
      <c r="BM19" s="889">
        <f>IF(ISNUMBER((Datos!P19-Datos!Q19+R19)/(Datos!R19-Datos!P19+Datos!Q19-R19)),(Datos!P19-Datos!Q19+R19)/(Datos!R19-Datos!P19+Datos!Q19-R19)," - ")</f>
        <v>2.5449609772650153E-4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965.33333333333337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2.8284271247461903</v>
      </c>
      <c r="F21" s="551">
        <f>IF(ISNUMBER(STDEV(F8:F18)),STDEV(F8:F18),"-")</f>
        <v>1360.4000147015583</v>
      </c>
      <c r="G21" s="552">
        <f>IF(ISNUMBER(STDEV(G8:G18)),STDEV(G8:G18),"-")</f>
        <v>1326.2975030763898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1982.0126807532456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328.35607849667451</v>
      </c>
      <c r="BD21" s="551"/>
      <c r="BE21" s="551">
        <f>IF(ISNUMBER(STDEV(BE8:BE18)),STDEV(BE8:BE18),"-")</f>
        <v>0</v>
      </c>
      <c r="BF21" s="556">
        <f>IF(ISNUMBER(STDEV(BF8:BF18)),STDEV(BF8:BF18),"-")</f>
        <v>0</v>
      </c>
      <c r="BG21" s="775">
        <f>IF(ISNUMBER(STDEV(BG8:BG18)),STDEV(BG8:BG18),"-")</f>
        <v>0.23983874835675079</v>
      </c>
      <c r="BH21" s="776">
        <f>IF(ISNUMBER(STDEV(BH8:BH18)),STDEV(BH8:BH18),"-")</f>
        <v>5.4708634998665708</v>
      </c>
      <c r="BI21" s="249">
        <f>IF(ISNUMBER(STDEV(BI8:BI18)),STDEV(BI8:BI18),"-")</f>
        <v>7.0632583652819395E-2</v>
      </c>
      <c r="BJ21" s="230" t="str">
        <f>IF(ISNUMBER(BL21/BM21),BL21/BM21," - ")</f>
        <v xml:space="preserve"> - </v>
      </c>
      <c r="BK21" s="575"/>
      <c r="BL21" s="559">
        <f>IF(ISNUMBER(STDEV(BL8:BL18)),STDEV(BL8:BL18),"-")</f>
        <v>0.92413455619960883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vuxHHRTcpzW4oNdJRbEXkKXFWiXVqUPwv4UKDzsEAs6+jrBGEEUhbHnAMu6GYE4CTiSFUpRi0ARox8eDzzIS1w==" saltValue="Ld/iDhXDEZ5AAZO8LiX4g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LAS PALMAS  Resumenes por Partidos Judiciales  SAN BARTOLOME DE TIRAJANA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376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381</v>
      </c>
      <c r="AA9" s="332" t="str">
        <f>IF(ISNUMBER(IF(J_V="SI",Datos!L9,Datos!L9+Datos!AB9)-IF(Monitorios="SI",Datos!CD9,0)),
                          IF(J_V="SI",Datos!L9,Datos!L9+Datos!AB9)-IF(Monitorios="SI",Datos!CD9,0),
                          " - ")</f>
        <v xml:space="preserve"> - </v>
      </c>
      <c r="AB9" s="334"/>
      <c r="AC9" s="334"/>
      <c r="AD9" s="484"/>
      <c r="AE9" s="484">
        <f>IF(ISNUMBER(Datos!R9),Datos!R9," - ")</f>
        <v>10604</v>
      </c>
      <c r="AF9" s="229" t="str">
        <f>IF(ISNUMBER(Datos!BV9),Datos!BV9," - ")</f>
        <v xml:space="preserve"> - </v>
      </c>
      <c r="AG9" s="225" t="str">
        <f>IF(ISNUMBER(Datos!DV9),Datos!DV9," - ")</f>
        <v xml:space="preserve"> - </v>
      </c>
      <c r="AH9" s="298"/>
      <c r="AI9" s="227"/>
      <c r="AJ9" s="225">
        <f>IF(ISNUMBER(Datos!M9),Datos!M9," - ")</f>
        <v>743</v>
      </c>
      <c r="AK9" s="229">
        <f>IF(ISNUMBER(Datos!N9),Datos!N9," - ")</f>
        <v>2252</v>
      </c>
      <c r="AL9" s="229" t="str">
        <f>IF(ISNUMBER(Datos!BW9),Datos!BW9," - ")</f>
        <v xml:space="preserve"> - </v>
      </c>
      <c r="AM9" s="228" t="str">
        <f>IF(ISNUMBER(Datos!BX9),Datos!BX9," - ")</f>
        <v xml:space="preserve"> - </v>
      </c>
      <c r="AN9" s="243"/>
      <c r="AO9" s="260">
        <f>IF(ISNUMBER(((NºAsuntos!I9/NºAsuntos!G9)*11)/factor_trimestre),((NºAsuntos!I9/NºAsuntos!G9)*11)/factor_trimestre," - ")</f>
        <v>12.728138013087449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-4.7129795456687717E-4</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89</v>
      </c>
      <c r="G10" s="225">
        <f>IF(ISNUMBER(Datos!I10),Datos!I10," - ")</f>
        <v>89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26</v>
      </c>
      <c r="Z10" s="619">
        <f>IF(ISNUMBER(Datos!Q10),Datos!Q10," - ")</f>
        <v>1</v>
      </c>
      <c r="AA10" s="332">
        <f>IF(ISNUMBER(Datos!L10),Datos!L10,"-")</f>
        <v>83</v>
      </c>
      <c r="AB10" s="334"/>
      <c r="AC10" s="334"/>
      <c r="AD10" s="484"/>
      <c r="AE10" s="484">
        <f>IF(ISNUMBER(Datos!R10),Datos!R10," - ")</f>
        <v>51</v>
      </c>
      <c r="AF10" s="229" t="str">
        <f>IF(ISNUMBER(Datos!BV10),Datos!BV10," - ")</f>
        <v xml:space="preserve"> - </v>
      </c>
      <c r="AG10" s="225" t="str">
        <f>IF(ISNUMBER(Datos!DV10),Datos!DV10," - ")</f>
        <v xml:space="preserve"> - </v>
      </c>
      <c r="AH10" s="298"/>
      <c r="AI10" s="227"/>
      <c r="AJ10" s="225">
        <f>IF(ISNUMBER(Datos!M10),Datos!M10," - ")</f>
        <v>9</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9.5769230769230784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0.15909090909090909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v>
      </c>
      <c r="AA12" s="332" t="str">
        <f>IF(ISNUMBER(IF(J_V="SI",Datos!L12,Datos!L12+Datos!AB12)-IF(Monitorios="SI",Datos!CD12,0)),
                          IF(J_V="SI",Datos!L12,Datos!L12+Datos!AB12)-IF(Monitorios="SI",Datos!CD12,0),
                          " - ")</f>
        <v xml:space="preserve"> - </v>
      </c>
      <c r="AB12" s="334"/>
      <c r="AC12" s="334"/>
      <c r="AD12" s="484"/>
      <c r="AE12" s="484">
        <f>IF(ISNUMBER(Datos!R12),Datos!R12," - ")</f>
        <v>528</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-3.1192660550458717E-2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89</v>
      </c>
      <c r="G13" s="898">
        <f>SUBTOTAL(9,G8:G12)</f>
        <v>89</v>
      </c>
      <c r="H13" s="908"/>
      <c r="I13" s="898">
        <f t="shared" ref="I13:N13" si="0">SUBTOTAL(9,I8:I12)</f>
        <v>0</v>
      </c>
      <c r="J13" s="867">
        <f t="shared" si="0"/>
        <v>0</v>
      </c>
      <c r="K13" s="908">
        <f t="shared" si="0"/>
        <v>0</v>
      </c>
      <c r="L13" s="908">
        <f t="shared" si="0"/>
        <v>0</v>
      </c>
      <c r="M13" s="908">
        <f t="shared" si="0"/>
        <v>0</v>
      </c>
      <c r="N13" s="908">
        <f t="shared" si="0"/>
        <v>384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26</v>
      </c>
      <c r="Z13" s="907">
        <f t="shared" si="2"/>
        <v>399</v>
      </c>
      <c r="AA13" s="900">
        <f t="shared" si="2"/>
        <v>83</v>
      </c>
      <c r="AB13" s="900">
        <f t="shared" si="2"/>
        <v>0</v>
      </c>
      <c r="AC13" s="900">
        <f t="shared" si="2"/>
        <v>0</v>
      </c>
      <c r="AD13" s="900">
        <f t="shared" si="2"/>
        <v>0</v>
      </c>
      <c r="AE13" s="900">
        <f t="shared" si="2"/>
        <v>11183</v>
      </c>
      <c r="AF13" s="908">
        <f t="shared" si="2"/>
        <v>0</v>
      </c>
      <c r="AG13" s="908">
        <f t="shared" si="2"/>
        <v>0</v>
      </c>
      <c r="AH13" s="908">
        <f t="shared" si="2"/>
        <v>0</v>
      </c>
      <c r="AI13" s="908">
        <f t="shared" si="2"/>
        <v>0</v>
      </c>
      <c r="AJ13" s="908">
        <f t="shared" si="2"/>
        <v>752</v>
      </c>
      <c r="AK13" s="908">
        <f t="shared" si="2"/>
        <v>2259</v>
      </c>
      <c r="AL13" s="908">
        <f t="shared" si="2"/>
        <v>0</v>
      </c>
      <c r="AM13" s="908">
        <f t="shared" si="2"/>
        <v>0</v>
      </c>
      <c r="AN13" s="908">
        <f t="shared" si="2"/>
        <v>0</v>
      </c>
      <c r="AO13" s="904">
        <f>IF(ISNUMBER(((NºAsuntos!I13/NºAsuntos!G13)*11)/factor_trimestre),((NºAsuntos!I13/NºAsuntos!G13)*11)/factor_trimestre," - ")</f>
        <v>12.703955135773317</v>
      </c>
      <c r="AP13" s="910" t="str">
        <f>IF(ISNUMBER(Datos!CI13/Datos!CJ13),Datos!CI13/Datos!CJ13," - ")</f>
        <v xml:space="preserve"> - </v>
      </c>
      <c r="AQ13" s="928">
        <f t="shared" ref="AQ13:AV13" si="3">SUBTOTAL(9,AQ9:AQ12)</f>
        <v>0</v>
      </c>
      <c r="AR13" s="928">
        <f t="shared" si="3"/>
        <v>0.12742695058588349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2541</v>
      </c>
      <c r="G15" s="225">
        <f>IF(ISNUMBER(IF(D_I="SI",Datos!I15,Datos!I15+Datos!AC15)),IF(D_I="SI",Datos!I15,Datos!I15+Datos!AC15)," - ")</f>
        <v>2534</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128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3761</v>
      </c>
      <c r="Z15" s="619">
        <f>IF(ISNUMBER(Datos!Q15),Datos!Q15," - ")</f>
        <v>100</v>
      </c>
      <c r="AA15" s="332">
        <f>IF(ISNUMBER(IF(D_I="SI",Datos!L15,Datos!L15+Datos!AF15)),IF(D_I="SI",Datos!L15,Datos!L15+Datos!AF15)," - ")</f>
        <v>2554</v>
      </c>
      <c r="AB15" s="334"/>
      <c r="AC15" s="334"/>
      <c r="AD15" s="484"/>
      <c r="AE15" s="484">
        <f>IF(ISNUMBER(Datos!R15),Datos!R15," - ")</f>
        <v>583</v>
      </c>
      <c r="AF15" s="229" t="str">
        <f>IF(ISNUMBER(Datos!BV15),Datos!BV15," - ")</f>
        <v xml:space="preserve"> - </v>
      </c>
      <c r="AG15" s="225"/>
      <c r="AH15" s="298"/>
      <c r="AI15" s="227"/>
      <c r="AJ15" s="225">
        <f>IF(ISNUMBER(Datos!M15),Datos!M15," - ")</f>
        <v>389</v>
      </c>
      <c r="AK15" s="229">
        <f>IF(ISNUMBER(Datos!N15),Datos!N15," - ")</f>
        <v>2851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2.0372241425152886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8</v>
      </c>
      <c r="G16" s="225">
        <f>IF(ISNUMBER(IF(D_I="SI",Datos!I16,Datos!I16+Datos!AC16)),IF(D_I="SI",Datos!I16,Datos!I16+Datos!AC16)," - ")</f>
        <v>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2</v>
      </c>
      <c r="AA16" s="332">
        <f>IF(ISNUMBER(IF(D_I="SI",Datos!L16,Datos!L16+Datos!AF16)),IF(D_I="SI",Datos!L16,Datos!L16+Datos!AF16)," - ")</f>
        <v>8</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265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315</v>
      </c>
      <c r="Z17" s="619">
        <f>IF(ISNUMBER(Datos!Q17),Datos!Q17," - ")</f>
        <v>8</v>
      </c>
      <c r="AA17" s="332">
        <f>IF(ISNUMBER(Datos!L17),Datos!L17,"-")</f>
        <v>192</v>
      </c>
      <c r="AB17" s="334"/>
      <c r="AC17" s="334"/>
      <c r="AD17" s="484"/>
      <c r="AE17" s="484">
        <f>IF(ISNUMBER(Datos!R17),Datos!R17," - ")</f>
        <v>25</v>
      </c>
      <c r="AF17" s="229" t="str">
        <f>IF(ISNUMBER(Datos!BV17),Datos!BV17," - ")</f>
        <v xml:space="preserve"> - </v>
      </c>
      <c r="AG17" s="225" t="str">
        <f>IF(ISNUMBER(Datos!DV17),Datos!DV17," - ")</f>
        <v xml:space="preserve"> - </v>
      </c>
      <c r="AH17" s="298"/>
      <c r="AI17" s="227"/>
      <c r="AJ17" s="225">
        <f>IF(ISNUMBER(Datos!M17),Datos!M17," - ")</f>
        <v>51</v>
      </c>
      <c r="AK17" s="229">
        <f>IF(ISNUMBER(Datos!N17),Datos!N17," - ")</f>
        <v>214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1.828571428571429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2549</v>
      </c>
      <c r="G18" s="898">
        <f>SUBTOTAL(9,G15:G17)</f>
        <v>2807</v>
      </c>
      <c r="H18" s="932">
        <f>SUBTOTAL(9,H15:H17)</f>
        <v>0</v>
      </c>
      <c r="I18" s="911">
        <f>SUBTOTAL(9,I15:I17)</f>
        <v>0</v>
      </c>
      <c r="J18" s="867">
        <f>SUBTOTAL(9,J14:J17)</f>
        <v>0</v>
      </c>
      <c r="K18" s="932">
        <f t="shared" ref="K18:S18" si="4">SUBTOTAL(9,K15:K17)</f>
        <v>0</v>
      </c>
      <c r="L18" s="932">
        <f t="shared" si="4"/>
        <v>0</v>
      </c>
      <c r="M18" s="932">
        <f t="shared" si="4"/>
        <v>0</v>
      </c>
      <c r="N18" s="932">
        <f t="shared" si="4"/>
        <v>128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4076</v>
      </c>
      <c r="Z18" s="932">
        <f t="shared" si="5"/>
        <v>110</v>
      </c>
      <c r="AA18" s="932">
        <f t="shared" si="5"/>
        <v>2754</v>
      </c>
      <c r="AB18" s="932">
        <f t="shared" si="5"/>
        <v>0</v>
      </c>
      <c r="AC18" s="932">
        <f t="shared" si="5"/>
        <v>0</v>
      </c>
      <c r="AD18" s="932">
        <f t="shared" si="5"/>
        <v>0</v>
      </c>
      <c r="AE18" s="932">
        <f t="shared" si="5"/>
        <v>608</v>
      </c>
      <c r="AF18" s="932">
        <f t="shared" si="5"/>
        <v>0</v>
      </c>
      <c r="AG18" s="932">
        <f t="shared" si="5"/>
        <v>0</v>
      </c>
      <c r="AH18" s="932">
        <f t="shared" si="5"/>
        <v>0</v>
      </c>
      <c r="AI18" s="932">
        <f t="shared" si="5"/>
        <v>0</v>
      </c>
      <c r="AJ18" s="932">
        <f t="shared" si="5"/>
        <v>440</v>
      </c>
      <c r="AK18" s="932">
        <f t="shared" si="5"/>
        <v>3065</v>
      </c>
      <c r="AL18" s="932">
        <f t="shared" si="5"/>
        <v>0</v>
      </c>
      <c r="AM18" s="932">
        <f t="shared" si="5"/>
        <v>0</v>
      </c>
      <c r="AN18" s="932">
        <f t="shared" si="5"/>
        <v>0</v>
      </c>
      <c r="AO18" s="934">
        <f>IF(ISNUMBER(((NºAsuntos!I18/NºAsuntos!G18)*11)/factor_trimestre),((NºAsuntos!I18/NºAsuntos!G18)*11)/factor_trimestre," - ")</f>
        <v>2.0269872423945046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2638</v>
      </c>
      <c r="G19" s="820">
        <f t="shared" si="7"/>
        <v>2896</v>
      </c>
      <c r="H19" s="821">
        <f t="shared" si="7"/>
        <v>0</v>
      </c>
      <c r="I19" s="820">
        <f t="shared" si="7"/>
        <v>0</v>
      </c>
      <c r="J19" s="822">
        <f t="shared" si="7"/>
        <v>0</v>
      </c>
      <c r="K19" s="820">
        <f t="shared" si="7"/>
        <v>0</v>
      </c>
      <c r="L19" s="823">
        <f t="shared" si="7"/>
        <v>0</v>
      </c>
      <c r="M19" s="820">
        <f t="shared" si="7"/>
        <v>0</v>
      </c>
      <c r="N19" s="821">
        <f t="shared" si="7"/>
        <v>512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4102</v>
      </c>
      <c r="Z19" s="827">
        <f t="shared" si="8"/>
        <v>509</v>
      </c>
      <c r="AA19" s="828">
        <f t="shared" si="8"/>
        <v>2837</v>
      </c>
      <c r="AB19" s="828">
        <f t="shared" si="8"/>
        <v>0</v>
      </c>
      <c r="AC19" s="828">
        <f t="shared" si="8"/>
        <v>0</v>
      </c>
      <c r="AD19" s="829">
        <f t="shared" si="8"/>
        <v>0</v>
      </c>
      <c r="AE19" s="829">
        <f t="shared" si="8"/>
        <v>11791</v>
      </c>
      <c r="AF19" s="830">
        <f t="shared" si="8"/>
        <v>0</v>
      </c>
      <c r="AG19" s="831">
        <f t="shared" si="8"/>
        <v>0</v>
      </c>
      <c r="AH19" s="832">
        <f t="shared" si="8"/>
        <v>0</v>
      </c>
      <c r="AI19" s="830">
        <f t="shared" si="8"/>
        <v>0</v>
      </c>
      <c r="AJ19" s="820">
        <f t="shared" si="8"/>
        <v>1192</v>
      </c>
      <c r="AK19" s="820">
        <f t="shared" si="8"/>
        <v>5324</v>
      </c>
      <c r="AL19" s="820">
        <f t="shared" si="8"/>
        <v>0</v>
      </c>
      <c r="AM19" s="833">
        <f t="shared" si="8"/>
        <v>0</v>
      </c>
      <c r="AN19" s="823">
        <f>IF(ISNUMBER(Datos!K19/Datos!J19),Datos!K19/Datos!J19," - ")</f>
        <v>0.81629481629481626</v>
      </c>
      <c r="AO19" s="823">
        <f>IF(ISNUMBER(FIND("06",Criterios!A8,1)),(IF(ISNUMBER(((Datos!R19/Datos!Q19)*11)/factor_trimestre),((Datos!R19/Datos!Q19)*11)/factor_trimestre," - ")),(IF(ISNUMBER(((Datos!L19/Datos!K19)*11)/factor_trimestre),((Datos!L19/Datos!K19)*11)/factor_trimestre," - ")))</f>
        <v>6.8521892847429973</v>
      </c>
      <c r="AP19" s="834" t="str">
        <f>IF(ISNUMBER(Datos!CI19/Datos!CJ19),Datos!CI19/Datos!CJ19," - ")</f>
        <v xml:space="preserve"> - </v>
      </c>
      <c r="AQ19" s="834">
        <f>IF(OR(ISNUMBER(FIND("01",Criterios!A8,1)),ISNUMBER(FIND("02",Criterios!A8,1)),ISNUMBER(FIND("03",Criterios!A8,1)),ISNUMBER(FIND("04",Criterios!A8,1))),(J19-Y19+K19)/(F19-K19),(I19-Y19+K19)/(F19-K19))</f>
        <v>-1.5549658832448825</v>
      </c>
      <c r="AR19" s="834">
        <f>IF(ISNUMBER((Datos!P19-Datos!Q19+O19)/(Datos!R19-Datos!P19+Datos!Q19-O19)),(Datos!P19-Datos!Q19+O19)/(Datos!R19-Datos!P19+Datos!Q19-O19)," - ")</f>
        <v>2.5449609772650153E-4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965.33333333333337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1360.4000147015583</v>
      </c>
      <c r="G21" s="552">
        <f>IF(ISNUMBER(STDEV(G8:G18)),STDEV(G8:G18),"-")</f>
        <v>1326.2975030763898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328.35607849667451</v>
      </c>
      <c r="AK21" s="252"/>
      <c r="AL21" s="252">
        <f>IF(ISNUMBER(STDEV(AL8:AL18)),STDEV(AL8:AL18),"-")</f>
        <v>0</v>
      </c>
      <c r="AM21" s="254">
        <f>IF(ISNUMBER(STDEV(AM8:AM18)),STDEV(AM8:AM18),"-")</f>
        <v>0</v>
      </c>
      <c r="AN21" s="539">
        <f>IF(ISNUMBER(STDEV(AN8:AN18)),STDEV(AN8:AN18),"-")</f>
        <v>0</v>
      </c>
      <c r="AO21" s="540">
        <f>IF(ISNUMBER(STDEV(AO8:AO18)),STDEV(AO8:AO18),"-")</f>
        <v>5.4385635574522633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YUId60J/tHHdZxl94niDDyWUkHcmF77/wuXXuNc/IE20ufdI9ILQDSkj6A5YeWwM/2+bgkub9lhimqZJ/EzPg==" saltValue="GVaSZus6pWXQB/QBNuGVh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gU1w9pEN6BNhyQyk9eB+IWfjlS7OxBVTstiT/5z59IYPe/4kHaJhAVs2OzfXGXKd0nmFkFJ+4hLBIm/QDnAng==" saltValue="zvyU73BEtM7uf3bNeYuR3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LAS PALMAS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IdQ1vJwiwY7sr+cMEJvmloG7C4smpqV/zH65OA59s/zC9zAG/W4yrZa+gGcAl0Gnti2xbNCohs0v1FOWvo3jw==" saltValue="Z98KUfPpKZGtl1vq71esV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LAS PALMAS  Resumenes por Partidos Judiciales  SAN BARTOLOME DE TIRAJANA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0.22195985832349469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0.15694932097174843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xHPxcN1MeZhKu800l3RVtfEy+NzIu6yUQVgs5r70tFQ/5uyUbFHa0hWCPO7PHicr6pUCYCnwVGReod5bDIkzMQ==" saltValue="piiMGJA+1sGe7rmrMTmhj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2xsGJc5AAmLydmUdWbMJcfUYm1hGPQh0+UHKCC8VSyZ6Wioxd4qlMwLs6rLI97nSkmyNh/MyrNm7sYrnfMisXw==" saltValue="YTJhYUAXHwJ/b2x/xcgAt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LAS PALMAS</v>
      </c>
      <c r="D3" s="375"/>
      <c r="E3" s="375"/>
      <c r="F3" s="375"/>
      <c r="BQ3" s="471"/>
    </row>
    <row r="4" spans="1:69" ht="13.5" thickBot="1">
      <c r="A4" s="375"/>
      <c r="B4" s="391" t="str">
        <f>Criterios!A11 &amp;"  "&amp;Criterios!B11</f>
        <v>Resumenes por Partidos Judiciales  SAN BARTOLOME DE TIRAJANA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12613</v>
      </c>
      <c r="D9" s="404">
        <f>IF(ISNUMBER(C9/Datos!BH9),C9/Datos!BH9," - ")</f>
        <v>2522.6</v>
      </c>
      <c r="E9" s="403">
        <f>IF(ISNUMBER(IF(J_V="SI",Datos!J9,Datos!J9+Datos!Z9)),IF(J_V="SI",Datos!J9,Datos!J9+Datos!Z9)," - ")</f>
        <v>5006</v>
      </c>
      <c r="F9" s="404">
        <f>IF(ISNUMBER(E9/B9),E9/B9," - ")</f>
        <v>834.33333333333337</v>
      </c>
      <c r="G9" s="403">
        <f>IF(ISNUMBER(IF(J_V="SI",Datos!K9,Datos!K9+Datos!AA9)),IF(J_V="SI",Datos!K9,Datos!K9+Datos!AA9)," - ")</f>
        <v>3362</v>
      </c>
      <c r="H9" s="404">
        <f>IF(ISNUMBER(G9/B9),G9/B9," - ")</f>
        <v>560.33333333333337</v>
      </c>
      <c r="I9" s="403">
        <f>IF(ISNUMBER(IF(J_V="SI",Datos!L9,Datos!L9+Datos!AB9)),IF(J_V="SI",Datos!L9,Datos!L9+Datos!AB9)," - ")</f>
        <v>14264</v>
      </c>
      <c r="J9" s="404">
        <f>IF(ISNUMBER(I9/B9),I9/B9," - ")</f>
        <v>2377.3333333333335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89</v>
      </c>
      <c r="D10" s="404">
        <f>IF(ISNUMBER(C10/Datos!BH10),C10/Datos!BH10," - ")</f>
        <v>89</v>
      </c>
      <c r="E10" s="403">
        <f>IF(ISNUMBER(Datos!J10),Datos!J10," - ")</f>
        <v>20</v>
      </c>
      <c r="F10" s="404">
        <f>IF(ISNUMBER(E10/B10),E10/B10," - ")</f>
        <v>20</v>
      </c>
      <c r="G10" s="403">
        <f>IF(ISNUMBER(Datos!K10),Datos!K10," - ")</f>
        <v>26</v>
      </c>
      <c r="H10" s="404">
        <f>IF(ISNUMBER(G10/B10),G10/B10," - ")</f>
        <v>26</v>
      </c>
      <c r="I10" s="403">
        <f>IF(ISNUMBER(Datos!L10),Datos!L10," - ")</f>
        <v>83</v>
      </c>
      <c r="J10" s="404">
        <f>IF(ISNUMBER(I10/B10),I10/B10," - ")</f>
        <v>83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0</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12702</v>
      </c>
      <c r="D13" s="850" t="str">
        <f>IF(ISNUMBER(C13/Datos!BI13),C13/Datos!BI13," - ")</f>
        <v xml:space="preserve"> - </v>
      </c>
      <c r="E13" s="849">
        <f>SUBTOTAL(9,E8:E12)</f>
        <v>5026</v>
      </c>
      <c r="F13" s="850">
        <f>IF(ISNUMBER(E13/B13),E13/B13," - ")</f>
        <v>718</v>
      </c>
      <c r="G13" s="849">
        <f>SUBTOTAL(9,G8:G12)</f>
        <v>3388</v>
      </c>
      <c r="H13" s="850">
        <f>IF(ISNUMBER(G13/B13),G13/B13," - ")</f>
        <v>484</v>
      </c>
      <c r="I13" s="849">
        <f>SUBTOTAL(9,I8:I12)</f>
        <v>14347</v>
      </c>
      <c r="J13" s="850">
        <f>IF(ISNUMBER(I13/B13),I13/B13," - ")</f>
        <v>2049.5714285714284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2534</v>
      </c>
      <c r="D15" s="404">
        <f>IF(ISNUMBER(C15/Datos!BH15),C15/Datos!BH15," - ")</f>
        <v>844.66666666666663</v>
      </c>
      <c r="E15" s="403">
        <f>IF(ISNUMBER(IF(D_I="SI",Datos!J15,Datos!J15+Datos!AD15)),IF(D_I="SI",Datos!J15,Datos!J15+Datos!AD15)," - ")</f>
        <v>3774</v>
      </c>
      <c r="F15" s="404">
        <f>IF(ISNUMBER(E15/B15),E15/B15," - ")</f>
        <v>943.5</v>
      </c>
      <c r="G15" s="403">
        <f>IF(ISNUMBER(IF(D_I="SI",Datos!K15,Datos!K15+Datos!AE15)),IF(D_I="SI",Datos!K15,Datos!K15+Datos!AE15)," - ")</f>
        <v>3761</v>
      </c>
      <c r="H15" s="404">
        <f>IF(ISNUMBER(G15/B15),G15/B15," - ")</f>
        <v>940.25</v>
      </c>
      <c r="I15" s="403">
        <f>IF(ISNUMBER(IF(D_I="SI",Datos!L15,Datos!L15+Datos!AF15)),IF(D_I="SI",Datos!L15,Datos!L15+Datos!AF15)," - ")</f>
        <v>2554</v>
      </c>
      <c r="J15" s="404">
        <f>IF(ISNUMBER(I15/B15),I15/B15," - ")</f>
        <v>638.5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8</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8</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265</v>
      </c>
      <c r="D17" s="404">
        <f>IF(ISNUMBER(C17/Datos!BH17),C17/Datos!BH17," - ")</f>
        <v>265</v>
      </c>
      <c r="E17" s="403">
        <f>IF(ISNUMBER(IF(D_I="SI",Datos!J17,Datos!J17+Datos!AD17)),IF(D_I="SI",Datos!J17,Datos!J17+Datos!AD17)," - ")</f>
        <v>313</v>
      </c>
      <c r="F17" s="404">
        <f>IF(ISNUMBER(E17/B17),E17/B17," - ")</f>
        <v>313</v>
      </c>
      <c r="G17" s="403">
        <f>IF(ISNUMBER(IF(D_I="SI",Datos!K17,Datos!K17+Datos!AE17)),IF(D_I="SI",Datos!K17,Datos!K17+Datos!AE17)," - ")</f>
        <v>315</v>
      </c>
      <c r="H17" s="404">
        <f>IF(ISNUMBER(G17/B17),G17/B17," - ")</f>
        <v>315</v>
      </c>
      <c r="I17" s="403">
        <f>IF(ISNUMBER(IF(D_I="SI",Datos!L17,Datos!L17+Datos!AF17)),IF(D_I="SI",Datos!L17,Datos!L17+Datos!AF17)," - ")</f>
        <v>192</v>
      </c>
      <c r="J17" s="404">
        <f>IF(ISNUMBER(I17/B17),I17/B17," - ")</f>
        <v>192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2807</v>
      </c>
      <c r="D18" s="850" t="str">
        <f>IF(ISNUMBER(C18/Datos!BI18),C18/Datos!BI18," - ")</f>
        <v xml:space="preserve"> - </v>
      </c>
      <c r="E18" s="849">
        <f>SUBTOTAL(9,E14:E17)</f>
        <v>4087</v>
      </c>
      <c r="F18" s="850">
        <f>IF(ISNUMBER(E18/B18),E18/B18," - ")</f>
        <v>817.4</v>
      </c>
      <c r="G18" s="849">
        <f>SUBTOTAL(9,G14:G17)</f>
        <v>4076</v>
      </c>
      <c r="H18" s="850">
        <f>IF(ISNUMBER(G18/B18),G18/B18," - ")</f>
        <v>815.2</v>
      </c>
      <c r="I18" s="849">
        <f>SUBTOTAL(9,I14:I17)</f>
        <v>2754</v>
      </c>
      <c r="J18" s="850">
        <f>IF(ISNUMBER(I18/B18),I18/B18," - ")</f>
        <v>550.79999999999995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15509</v>
      </c>
      <c r="D19" s="795" t="str">
        <f>IF(ISNUMBER(C19/Datos!BI19),C19/Datos!BI19," - ")</f>
        <v xml:space="preserve"> - </v>
      </c>
      <c r="E19" s="794">
        <f>SUBTOTAL(9,E9:E18)</f>
        <v>9113</v>
      </c>
      <c r="F19" s="795">
        <f>IF(ISNUMBER(E19/B19),E19/B19," - ")</f>
        <v>828.4545454545455</v>
      </c>
      <c r="G19" s="794">
        <f>SUBTOTAL(9,G9:G18)</f>
        <v>7464</v>
      </c>
      <c r="H19" s="795">
        <f>IF(ISNUMBER(G19/B19),G19/B19," - ")</f>
        <v>678.5454545454545</v>
      </c>
      <c r="I19" s="794">
        <f>SUBTOTAL(9,I9:I18)</f>
        <v>17101</v>
      </c>
      <c r="J19" s="795">
        <f>IF(ISNUMBER(I19/B19),I19/B19," - ")</f>
        <v>1554.6363636363637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90Qr2hNOOKmPSjGZ1hG3HzfkcQnBvCQrTwR1ZdSWq9DLBv/rZSYZiX0/LiqbNFfYuu7hSJHTzBkA5vK6X8DyKg==" saltValue="6nzC3NhecfIDSKNYOFZ0T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LAS PALMAS  Resumenes por Partidos Judiciales  SAN BARTOLOME DE TIRAJANA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89</v>
      </c>
      <c r="G10" s="684">
        <f>IF(ISNUMBER(Datos!I10),Datos!I10," - ")</f>
        <v>89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26</v>
      </c>
      <c r="AC10" s="683" t="str">
        <f>IF(ISNUMBER(IF(D_I="SI",DatosP!K17,DatosP!K17+DatosP!AE17)),IF(D_I="SI",DatosP!K17,DatosP!K17+DatosP!AE17)," - ")</f>
        <v xml:space="preserve"> - </v>
      </c>
      <c r="AD10" s="685"/>
      <c r="AE10" s="685"/>
      <c r="AF10" s="688">
        <f>IF(ISNUMBER(Datos!L10),Datos!L10,"-")</f>
        <v>83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9.5769230769230784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-3.1192660550458717E-2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89</v>
      </c>
      <c r="G13" s="938">
        <f t="shared" si="0"/>
        <v>89</v>
      </c>
      <c r="H13" s="938">
        <f t="shared" si="0"/>
        <v>0</v>
      </c>
      <c r="I13" s="940">
        <f t="shared" si="0"/>
        <v>0</v>
      </c>
      <c r="J13" s="939">
        <f t="shared" si="0"/>
        <v>0</v>
      </c>
      <c r="K13" s="939">
        <f t="shared" si="0"/>
        <v>0</v>
      </c>
      <c r="L13" s="941">
        <f t="shared" si="0"/>
        <v>0</v>
      </c>
      <c r="M13" s="941">
        <f t="shared" si="0"/>
        <v>0</v>
      </c>
      <c r="N13" s="939">
        <f t="shared" si="0"/>
        <v>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26</v>
      </c>
      <c r="AC13" s="939">
        <f t="shared" si="1"/>
        <v>0</v>
      </c>
      <c r="AD13" s="939">
        <f t="shared" si="1"/>
        <v>17</v>
      </c>
      <c r="AE13" s="939">
        <f t="shared" si="1"/>
        <v>0</v>
      </c>
      <c r="AF13" s="939">
        <f t="shared" si="1"/>
        <v>83</v>
      </c>
      <c r="AG13" s="939">
        <f t="shared" si="1"/>
        <v>0</v>
      </c>
      <c r="AH13" s="939">
        <f t="shared" si="1"/>
        <v>528</v>
      </c>
      <c r="AI13" s="939">
        <f t="shared" si="1"/>
        <v>0</v>
      </c>
      <c r="AJ13" s="939">
        <f t="shared" si="1"/>
        <v>0</v>
      </c>
      <c r="AK13" s="939">
        <f t="shared" si="1"/>
        <v>0</v>
      </c>
      <c r="AL13" s="939">
        <f t="shared" si="1"/>
        <v>9</v>
      </c>
      <c r="AM13" s="939">
        <f t="shared" si="1"/>
        <v>7</v>
      </c>
      <c r="AN13" s="939">
        <f t="shared" si="1"/>
        <v>0</v>
      </c>
      <c r="AO13" s="939">
        <f t="shared" si="1"/>
        <v>0</v>
      </c>
      <c r="AP13" s="944">
        <f>IF(ISNUMBER(((Datos!L13/Datos!K13)*11)/factor_trimestre),((Datos!L13/Datos!K13)*11)/factor_trimestre," - ")</f>
        <v>12.852043929225138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-0.29213483146067415</v>
      </c>
      <c r="AU13" s="939" t="str">
        <f>IF(ISNUMBER((DatosP!#REF!-DatosP!#REF!+DatosP!#REF!)/(DatosP!#REF!+DatosP!#REF!-DatosP!#REF!-DatosP!#REF!)),(DatosP!#REF!-DatosP!#REF!+DatosP!#REF!)/(DatosP!#REF!+DatosP!#REF!-DatosP!#REF!-DatosP!#REF!)," - ")</f>
        <v xml:space="preserve"> - </v>
      </c>
      <c r="AV13" s="945">
        <f>SUBTOTAL(9,AV9:AV12)</f>
        <v>-3.1192660550458717E-2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2.0269872423945046</v>
      </c>
      <c r="AQ18" s="944">
        <f>IF(ISNUMBER(((Datos!M18/Datos!L18)*11)/factor_trimestre),((Datos!M18/Datos!L18)*11)/factor_trimestre," - ")</f>
        <v>0.47930283224400877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3.0508474576271188E-2</v>
      </c>
      <c r="AW18" s="946">
        <f>IF(ISNUMBER((Datos!Q18-Datos!R18)/(Datos!S18-Datos!Q18+Datos!R18)),(Datos!Q18-Datos!R18)/(Datos!S18-Datos!Q18+Datos!R18)," - ")</f>
        <v>-0.14852371011034893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89</v>
      </c>
      <c r="G19" s="951">
        <f t="shared" si="4"/>
        <v>89</v>
      </c>
      <c r="H19" s="951">
        <f t="shared" si="4"/>
        <v>0</v>
      </c>
      <c r="I19" s="952">
        <f t="shared" si="4"/>
        <v>0</v>
      </c>
      <c r="J19" s="953">
        <f t="shared" si="4"/>
        <v>0</v>
      </c>
      <c r="K19" s="953">
        <f t="shared" si="4"/>
        <v>0</v>
      </c>
      <c r="L19" s="953">
        <f t="shared" si="4"/>
        <v>0</v>
      </c>
      <c r="M19" s="953">
        <f t="shared" si="4"/>
        <v>0</v>
      </c>
      <c r="N19" s="952">
        <f t="shared" si="4"/>
        <v>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26</v>
      </c>
      <c r="AC19" s="957">
        <f t="shared" si="5"/>
        <v>0</v>
      </c>
      <c r="AD19" s="957">
        <f t="shared" si="5"/>
        <v>17</v>
      </c>
      <c r="AE19" s="957">
        <f t="shared" si="5"/>
        <v>0</v>
      </c>
      <c r="AF19" s="958">
        <f t="shared" si="5"/>
        <v>83</v>
      </c>
      <c r="AG19" s="958">
        <f t="shared" si="5"/>
        <v>0</v>
      </c>
      <c r="AH19" s="958">
        <f t="shared" si="5"/>
        <v>528</v>
      </c>
      <c r="AI19" s="958">
        <f t="shared" si="5"/>
        <v>0</v>
      </c>
      <c r="AJ19" s="959">
        <f t="shared" si="5"/>
        <v>0</v>
      </c>
      <c r="AK19" s="959">
        <f t="shared" si="5"/>
        <v>0</v>
      </c>
      <c r="AL19" s="951">
        <f t="shared" si="5"/>
        <v>9</v>
      </c>
      <c r="AM19" s="951">
        <f t="shared" si="5"/>
        <v>7</v>
      </c>
      <c r="AN19" s="951">
        <f t="shared" si="5"/>
        <v>0</v>
      </c>
      <c r="AO19" s="951">
        <f t="shared" si="5"/>
        <v>0</v>
      </c>
      <c r="AP19" s="951">
        <f>IF(ISNUMBER(((Datos!L19/Datos!K19)*11)/factor_trimestre),((Datos!L19/Datos!K19)*11)/factor_trimestre," - ")</f>
        <v>6.8521892847429973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-0.29213483146067415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2.5449609772650153E-4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59.333333333333336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51.384173957876691</v>
      </c>
      <c r="G21" s="737">
        <f>IF(ISNUMBER(STDEV(G8:G18)),STDEV(G8:G18),"-")</f>
        <v>51.384173957876691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15.01110699893027</v>
      </c>
      <c r="AC21" s="738">
        <f>IF(ISNUMBER(STDEV(AC8:AC18)),STDEV(AC8:AC18),"-")</f>
        <v>0</v>
      </c>
      <c r="AD21" s="741"/>
      <c r="AE21" s="741"/>
      <c r="AF21" s="741"/>
      <c r="AG21" s="741"/>
      <c r="AH21" s="741"/>
      <c r="AI21" s="741"/>
      <c r="AJ21" s="742">
        <f>IF(ISNUMBER(STDEV(AJ8:AJ18)),STDEV(AJ8:AJ18),"-")</f>
        <v>0</v>
      </c>
      <c r="AK21" s="744"/>
      <c r="AL21" s="736">
        <f>IF(ISNUMBER(STDEV(AL8:AL18)),STDEV(AL8:AL18),"-")</f>
        <v>5.196152422706632</v>
      </c>
      <c r="AM21" s="736"/>
      <c r="AN21" s="736">
        <f>IF(ISNUMBER(STDEV(AN8:AN18)),STDEV(AN8:AN18),"-")</f>
        <v>0</v>
      </c>
      <c r="AO21" s="742">
        <f>IF(ISNUMBER(STDEV(AO8:AO18)),STDEV(AO8:AO18),"-")</f>
        <v>0</v>
      </c>
      <c r="AP21" s="779">
        <f>IF(ISNUMBER(STDEV(AP8:AP18)),STDEV(AP8:AP18),"-")</f>
        <v>5.5514232405720234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a3ehiQEzDgn7cVzfSk5aRwPk5cikZztGYgzKI5ffff+77lnnfV6X4UGCxJmiI1cH2xbEuNoAjCDcIeYU6lzMqA==" saltValue="FNCZ9L/I/TUDn8UcINWhz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LAS PALMAS</v>
      </c>
      <c r="C3" s="415"/>
      <c r="F3" s="375"/>
      <c r="G3" s="375"/>
      <c r="H3" s="375"/>
    </row>
    <row r="4" spans="1:15" ht="13.5" thickBot="1">
      <c r="A4" s="375"/>
      <c r="B4" s="391" t="str">
        <f>Criterios!A11 &amp;"  "&amp;Criterios!B11</f>
        <v>Resumenes por Partidos Judiciales  SAN BARTOLOME DE TIRAJANA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1.3333333333333333</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jEjh7fi3seeovvOVsXK0JDKlrq7RNGv9CAdf2u3Rf98vVxp7PETNLUxwFH67lcovSB1klN1zSmeK0V/Jkg/4Cw==" saltValue="4HnRzWYHF85eshywV3NU+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LAS PALMAS</v>
      </c>
      <c r="C3" s="391"/>
      <c r="D3" s="425"/>
      <c r="BZ3" s="471"/>
    </row>
    <row r="4" spans="1:78" ht="13.5" thickBot="1">
      <c r="B4" s="391" t="str">
        <f>Criterios!A11 &amp;"  "&amp;Criterios!B11</f>
        <v>Resumenes por Partidos Judiciales  SAN BARTOLOME DE TIRAJANA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743</v>
      </c>
      <c r="E9" s="404">
        <f t="shared" ref="E9:E13" si="0">IF(ISNUMBER(D9/B9),D9/B9," - ")</f>
        <v>123.83333333333333</v>
      </c>
      <c r="F9" s="403">
        <f>IF(ISNUMBER(Datos!N9),Datos!N9," - ")</f>
        <v>2252</v>
      </c>
      <c r="G9" s="404">
        <f t="shared" ref="G9:G13" si="1">IF(ISNUMBER(F9/B9),F9/B9," - ")</f>
        <v>375.33333333333331</v>
      </c>
      <c r="H9" s="403">
        <f>IF(ISNUMBER(Datos!O9),Datos!O9," - ")</f>
        <v>626</v>
      </c>
      <c r="I9" s="404">
        <f>IF(ISNUMBER(H9/B9),H9/B9," - ")</f>
        <v>104.33333333333333</v>
      </c>
      <c r="BZ9" s="1186">
        <f>Datos!EZ9</f>
        <v>0</v>
      </c>
    </row>
    <row r="10" spans="1:78">
      <c r="A10" s="402" t="str">
        <f>Datos!A10</f>
        <v>Jdos. Violencia contra la mujer</v>
      </c>
      <c r="B10" s="427">
        <f>Datos!AO10</f>
        <v>1</v>
      </c>
      <c r="C10" s="410">
        <f>Datos!AQ10</f>
        <v>1</v>
      </c>
      <c r="D10" s="403">
        <f>IF(ISNUMBER(Datos!M10),Datos!M10," - ")</f>
        <v>9</v>
      </c>
      <c r="E10" s="404">
        <f>IF(ISNUMBER(D10/B10),D10/B10," - ")</f>
        <v>9</v>
      </c>
      <c r="F10" s="403">
        <f>IF(ISNUMBER(Datos!N10),Datos!N10," - ")</f>
        <v>7</v>
      </c>
      <c r="G10" s="404">
        <f>IF(ISNUMBER(F10/B10),F10/B10," - ")</f>
        <v>7</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4</v>
      </c>
      <c r="I12" s="404" t="str">
        <f t="shared" si="2"/>
        <v xml:space="preserve"> - </v>
      </c>
      <c r="BZ12" s="1186">
        <f>Datos!EZ12</f>
        <v>0</v>
      </c>
    </row>
    <row r="13" spans="1:78" ht="14.25" thickTop="1" thickBot="1">
      <c r="A13" s="848" t="str">
        <f>Datos!A13</f>
        <v>TOTAL</v>
      </c>
      <c r="B13" s="849">
        <f>Datos!AP13</f>
        <v>7</v>
      </c>
      <c r="C13" s="851">
        <f>Datos!AR13</f>
        <v>7</v>
      </c>
      <c r="D13" s="849">
        <f>SUBTOTAL(9,D9:D12)</f>
        <v>752</v>
      </c>
      <c r="E13" s="850">
        <f t="shared" si="0"/>
        <v>107.42857142857143</v>
      </c>
      <c r="F13" s="849">
        <f>SUBTOTAL(9,F9:F12)</f>
        <v>2259</v>
      </c>
      <c r="G13" s="850">
        <f t="shared" si="1"/>
        <v>322.71428571428572</v>
      </c>
      <c r="H13" s="849">
        <f>SUBTOTAL(9,H9:H12)</f>
        <v>630</v>
      </c>
      <c r="I13" s="850">
        <f>IF(ISNUMBER(H13/B13),H13/B13," - ")</f>
        <v>90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389</v>
      </c>
      <c r="E15" s="404">
        <f t="shared" ref="E15:E18" si="3">IF(ISNUMBER(D15/B15),D15/B15," - ")</f>
        <v>97.25</v>
      </c>
      <c r="F15" s="403">
        <f>IF(ISNUMBER(Datos!N15),Datos!N15," - ")</f>
        <v>2851</v>
      </c>
      <c r="G15" s="404">
        <f t="shared" ref="G15:G18" si="4">IF(ISNUMBER(F15/B15),F15/B15," - ")</f>
        <v>712.75</v>
      </c>
      <c r="H15" s="403">
        <f>IF(ISNUMBER(Datos!O15),Datos!O15," - ")</f>
        <v>2</v>
      </c>
      <c r="I15" s="404">
        <f t="shared" ref="I15:I17" si="5">IF(ISNUMBER(H15/B15),H15/B15," - ")</f>
        <v>0.5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51</v>
      </c>
      <c r="E17" s="404">
        <f>IF(ISNUMBER(D17/B17),D17/B17," - ")</f>
        <v>51</v>
      </c>
      <c r="F17" s="403">
        <f>IF(ISNUMBER(Datos!N17),Datos!N17," - ")</f>
        <v>214</v>
      </c>
      <c r="G17" s="404">
        <f>IF(ISNUMBER(F17/B17),F17/B17," - ")</f>
        <v>214</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440</v>
      </c>
      <c r="E18" s="850">
        <f t="shared" si="3"/>
        <v>88</v>
      </c>
      <c r="F18" s="849">
        <f>SUBTOTAL(9,F15:F17)</f>
        <v>3065</v>
      </c>
      <c r="G18" s="850">
        <f t="shared" si="4"/>
        <v>613</v>
      </c>
      <c r="H18" s="849">
        <f>SUBTOTAL(9,H15:H17)</f>
        <v>2</v>
      </c>
      <c r="I18" s="850">
        <f>IF(ISNUMBER(H18/B18),H18/B18," - ")</f>
        <v>0.4</v>
      </c>
      <c r="BZ18" s="1186"/>
    </row>
    <row r="19" spans="1:78" ht="14.25" thickTop="1" thickBot="1">
      <c r="A19" s="793" t="str">
        <f>Datos!A19</f>
        <v>TOTAL JURISDICCIONES</v>
      </c>
      <c r="B19" s="794">
        <f>Datos!AP19</f>
        <v>11</v>
      </c>
      <c r="C19" s="794">
        <f>Datos!AR19</f>
        <v>11</v>
      </c>
      <c r="D19" s="794">
        <f>SUBTOTAL(9,D8:D18)</f>
        <v>1192</v>
      </c>
      <c r="E19" s="795">
        <f>IF(ISNUMBER(D19/B19),D19/B19," - ")</f>
        <v>108.36363636363636</v>
      </c>
      <c r="F19" s="794">
        <f>SUBTOTAL(9,F8:F18)</f>
        <v>5324</v>
      </c>
      <c r="G19" s="795">
        <f>IF(ISNUMBER(F19/B19),F19/B19," - ")</f>
        <v>484</v>
      </c>
      <c r="H19" s="794">
        <f>SUBTOTAL(9,H8:H18)</f>
        <v>632</v>
      </c>
      <c r="I19" s="795">
        <f>IF(ISNUMBER(H19/B19),H19/B19," - ")</f>
        <v>57.454545454545453</v>
      </c>
    </row>
    <row r="22" spans="1:78">
      <c r="A22" s="391" t="str">
        <f>Criterios!A4</f>
        <v>Fecha Informe: 27 feb. 2025</v>
      </c>
    </row>
    <row r="27" spans="1:78">
      <c r="A27" s="414"/>
    </row>
  </sheetData>
  <sheetProtection algorithmName="SHA-512" hashValue="XVrReVIAlfA1KIy3XLk7aBwDqnT0LSzq7Itb2QreZ3ew0IKbMcuYb47Co8ioshX5dkPYSJjlxiC3IF4w3fs8yQ==" saltValue="Cdad/PElGnxpuaeEXEM14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LAS PALMAS</v>
      </c>
    </row>
    <row r="4" spans="1:4" ht="13.5" thickBot="1">
      <c r="B4" s="391" t="str">
        <f>Criterios!A11 &amp;"  "&amp;Criterios!B11</f>
        <v>Resumenes por Partidos Judiciales  SAN BARTOLOME DE TIRAJANA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376</v>
      </c>
      <c r="C9" s="434">
        <f>IF(ISNUMBER(Datos!Q9),Datos!Q9," - ")</f>
        <v>381</v>
      </c>
      <c r="D9" s="408">
        <f>IF(ISNUMBER(Datos!R9),Datos!R9," - ")</f>
        <v>10604</v>
      </c>
    </row>
    <row r="10" spans="1:4">
      <c r="A10" s="402" t="str">
        <f>Datos!A10</f>
        <v>Jdos. Violencia contra la mujer</v>
      </c>
      <c r="B10" s="433">
        <f>IF(ISNUMBER(Datos!P10),Datos!P10," - ")</f>
        <v>8</v>
      </c>
      <c r="C10" s="434">
        <f>IF(ISNUMBER(Datos!Q10),Datos!Q10," - ")</f>
        <v>1</v>
      </c>
      <c r="D10" s="408">
        <f>IF(ISNUMBER(Datos!R10),Datos!R10," - ")</f>
        <v>51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17</v>
      </c>
      <c r="D12" s="408">
        <f>IF(ISNUMBER(Datos!R12),Datos!R12," - ")</f>
        <v>528</v>
      </c>
    </row>
    <row r="13" spans="1:4" ht="14.25" thickTop="1" thickBot="1">
      <c r="A13" s="848" t="str">
        <f>Datos!A13</f>
        <v>TOTAL</v>
      </c>
      <c r="B13" s="849">
        <f>SUBTOTAL(9,B9:B12)</f>
        <v>384</v>
      </c>
      <c r="C13" s="853">
        <f>SUBTOTAL(9,C9:C12)</f>
        <v>399</v>
      </c>
      <c r="D13" s="851">
        <f>SUBTOTAL(9,D9:D12)</f>
        <v>11183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128</v>
      </c>
      <c r="C15" s="434">
        <f>IF(ISNUMBER(Datos!Q15),Datos!Q15," - ")</f>
        <v>100</v>
      </c>
      <c r="D15" s="408">
        <f>IF(ISNUMBER(Datos!R15),Datos!R15," - ")</f>
        <v>583</v>
      </c>
    </row>
    <row r="16" spans="1:4">
      <c r="A16" s="402" t="str">
        <f>Datos!A16</f>
        <v xml:space="preserve">Jdos. 1ª Instª. e Instr.                        </v>
      </c>
      <c r="B16" s="433">
        <f>IF(ISNUMBER(Datos!P16),Datos!P16," - ")</f>
        <v>0</v>
      </c>
      <c r="C16" s="434">
        <f>IF(ISNUMBER(Datos!Q16),Datos!Q16," - ")</f>
        <v>2</v>
      </c>
      <c r="D16" s="408">
        <f>IF(ISNUMBER(Datos!R16),Datos!R16," - ")</f>
        <v>0</v>
      </c>
    </row>
    <row r="17" spans="1:4" ht="13.5" thickBot="1">
      <c r="A17" s="402" t="str">
        <f>Datos!A17</f>
        <v>Jdos. Violencia contra la mujer</v>
      </c>
      <c r="B17" s="433">
        <f>IF(ISNUMBER(Datos!P17),Datos!P17," - ")</f>
        <v>0</v>
      </c>
      <c r="C17" s="434">
        <f>IF(ISNUMBER(Datos!Q17),Datos!Q17," - ")</f>
        <v>8</v>
      </c>
      <c r="D17" s="408">
        <f>IF(ISNUMBER(Datos!R17),Datos!R17," - ")</f>
        <v>25</v>
      </c>
    </row>
    <row r="18" spans="1:4" ht="14.25" thickTop="1" thickBot="1">
      <c r="A18" s="848" t="str">
        <f>Datos!A18</f>
        <v>TOTAL</v>
      </c>
      <c r="B18" s="849">
        <f>SUBTOTAL(9,B15:B17)</f>
        <v>128</v>
      </c>
      <c r="C18" s="853">
        <f>SUBTOTAL(9,C15:C17)</f>
        <v>110</v>
      </c>
      <c r="D18" s="851">
        <f>SUBTOTAL(9,D15:D17)</f>
        <v>608</v>
      </c>
    </row>
    <row r="19" spans="1:4" ht="16.5" customHeight="1" thickTop="1" thickBot="1">
      <c r="A19" s="793" t="str">
        <f>Datos!A19</f>
        <v>TOTAL JURISDICCIONES</v>
      </c>
      <c r="B19" s="798">
        <f>SUBTOTAL(9,B8:B18)</f>
        <v>512</v>
      </c>
      <c r="C19" s="799">
        <f>SUBTOTAL(9,C8:C18)</f>
        <v>509</v>
      </c>
      <c r="D19" s="800">
        <f>SUBTOTAL(9,D8:D18)</f>
        <v>11791</v>
      </c>
    </row>
    <row r="20" spans="1:4" ht="7.5" customHeight="1"/>
    <row r="21" spans="1:4" ht="6" customHeight="1"/>
    <row r="22" spans="1:4">
      <c r="A22" s="391" t="str">
        <f>Criterios!A4</f>
        <v>Fecha Informe: 27 feb. 2025</v>
      </c>
    </row>
    <row r="27" spans="1:4">
      <c r="A27" s="414"/>
    </row>
  </sheetData>
  <sheetProtection algorithmName="SHA-512" hashValue="K/rIS6xgY5eTQsS1B9QuJ7qbNqMif+203vdDWy4zvX2gwQaI5PxzhLsV1d3CJiy0Hq4y9Lsc/Kx0lZAnPRy7/w==" saltValue="29Rl9SOrYLbBtWSVCkK3c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LAS PALMAS</v>
      </c>
    </row>
    <row r="4" spans="1:11" ht="10.5" customHeight="1" thickBot="1">
      <c r="B4" s="391" t="str">
        <f>Criterios!A11 &amp;"  "&amp;Criterios!B11</f>
        <v>Resumenes por Partidos Judiciales  SAN BARTOLOME DE TIRAJANA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0.24131483121739986</v>
      </c>
      <c r="C9" s="456">
        <f>IF(ISNUMBER(
   IF(J_V="SI",(Datos!J9-Datos!T9)/Datos!T9,(Datos!J9+Datos!Z9-(Datos!T9+Datos!AH9))/(Datos!T9+Datos!AH9))
     ),IF(J_V="SI",(Datos!J9-Datos!T9)/Datos!T9,(Datos!J9+Datos!Z9-(Datos!T9+Datos!AH9))/(Datos!T9+Datos!AH9))," - ")</f>
        <v>0.35517054683270166</v>
      </c>
      <c r="D9" s="456">
        <f>IF(ISNUMBER(
   IF(J_V="SI",(Datos!K9-Datos!U9)/Datos!U9,(Datos!K9+Datos!AA9-(Datos!U9+Datos!AI9))/(Datos!U9+Datos!AI9))
     ),IF(J_V="SI",(Datos!K9-Datos!U9)/Datos!U9,(Datos!K9+Datos!AA9-(Datos!U9+Datos!AI9))/(Datos!U9+Datos!AI9))," - ")</f>
        <v>0.23648400147112908</v>
      </c>
      <c r="E9" s="456">
        <f>IF(ISNUMBER(
   IF(J_V="SI",(Datos!L9-Datos!V9)/Datos!V9,(Datos!L9+Datos!AB9-(Datos!V9+Datos!AJ9))/(Datos!V9+Datos!AJ9))
     ),IF(J_V="SI",(Datos!L9-Datos!V9)/Datos!V9,(Datos!L9+Datos!AB9-(Datos!V9+Datos!AJ9))/(Datos!V9+Datos!AJ9))," - ")</f>
        <v>0.28089080459770116</v>
      </c>
      <c r="F9" s="456">
        <f>IF(ISNUMBER((Datos!M9-Datos!W9)/Datos!W9),(Datos!M9-Datos!W9)/Datos!W9," - ")</f>
        <v>0.49496981891348091</v>
      </c>
      <c r="G9" s="457">
        <f>IF(ISNUMBER((Datos!N9-Datos!X9)/Datos!X9),(Datos!N9-Datos!X9)/Datos!X9," - ")</f>
        <v>0.39962709757613424</v>
      </c>
      <c r="H9" s="455">
        <f>IF(ISNUMBER(((NºAsuntos!G9/NºAsuntos!E9)-Datos!BD9)/Datos!BD9),((NºAsuntos!G9/NºAsuntos!E9)-Datos!BD9)/Datos!BD9," - ")</f>
        <v>-8.7580523085427367E-2</v>
      </c>
      <c r="I9" s="456">
        <f>IF(ISNUMBER(((NºAsuntos!I9/NºAsuntos!G9)-Datos!BE9)/Datos!BE9),((NºAsuntos!I9/NºAsuntos!G9)-Datos!BE9)/Datos!BE9," - ")</f>
        <v>3.5913770880770211E-2</v>
      </c>
      <c r="J9" s="461">
        <f>IF(ISNUMBER((('Resol  Asuntos'!D9/NºAsuntos!G9)-Datos!BF9)/Datos!BF9),(('Resol  Asuntos'!D9/NºAsuntos!G9)-Datos!BF9)/Datos!BF9," - ")</f>
        <v>-0.62653984927880024</v>
      </c>
      <c r="K9" s="462">
        <f>IF(ISNUMBER((((NºAsuntos!C9+NºAsuntos!E9)/NºAsuntos!G9)-Datos!BG9)/Datos!BG9),(((NºAsuntos!C9+NºAsuntos!E9)/NºAsuntos!G9)-Datos!BG9)/Datos!BG9," - ")</f>
        <v>2.8457202379278321E-2</v>
      </c>
    </row>
    <row r="10" spans="1:11">
      <c r="A10" s="402" t="str">
        <f>Datos!A10</f>
        <v>Jdos. Violencia contra la mujer</v>
      </c>
      <c r="B10" s="455">
        <f>IF(ISNUMBER((Datos!I10-Datos!S10)/Datos!S10),(Datos!I10-Datos!S10)/Datos!S10," - ")</f>
        <v>2.2988505747126436E-2</v>
      </c>
      <c r="C10" s="456">
        <f>IF(ISNUMBER((Datos!J10-Datos!T10)/Datos!T10),(Datos!J10-Datos!T10)/Datos!T10," - ")</f>
        <v>-0.375</v>
      </c>
      <c r="D10" s="456">
        <f>IF(ISNUMBER((Datos!K10-Datos!U10)/Datos!U10),(Datos!K10-Datos!U10)/Datos!U10," - ")</f>
        <v>-7.1428571428571425E-2</v>
      </c>
      <c r="E10" s="456">
        <f>IF(ISNUMBER((Datos!L10-Datos!V10)/Datos!V10),(Datos!L10-Datos!V10)/Datos!V10," - ")</f>
        <v>-8.7912087912087919E-2</v>
      </c>
      <c r="F10" s="456">
        <f>IF(ISNUMBER((Datos!M10-Datos!W10)/Datos!W10),(Datos!M10-Datos!W10)/Datos!W10," - ")</f>
        <v>-0.18181818181818182</v>
      </c>
      <c r="G10" s="457">
        <f>IF(ISNUMBER((Datos!N10-Datos!X10)/Datos!X10),(Datos!N10-Datos!X10)/Datos!X10," - ")</f>
        <v>-0.46153846153846156</v>
      </c>
      <c r="H10" s="455">
        <f>IF(ISNUMBER(((NºAsuntos!G10/NºAsuntos!E10)-Datos!BD10)/Datos!BD10),((NºAsuntos!G10/NºAsuntos!E10)-Datos!BD10)/Datos!BD10," - ")</f>
        <v>0.48571428571428577</v>
      </c>
      <c r="I10" s="456">
        <f>IF(ISNUMBER(((NºAsuntos!I10/NºAsuntos!G10)-Datos!BE10)/Datos!BE10),((NºAsuntos!I10/NºAsuntos!G10)-Datos!BE10)/Datos!BE10," - ")</f>
        <v>-1.7751479289940766E-2</v>
      </c>
      <c r="J10" s="461">
        <f>IF(ISNUMBER((('Resol  Asuntos'!D10/NºAsuntos!G10)-Datos!BF10)/Datos!BF10),(('Resol  Asuntos'!D10/NºAsuntos!G10)-Datos!BF10)/Datos!BF10," - ")</f>
        <v>-0.11888111888111888</v>
      </c>
      <c r="K10" s="462">
        <f>IF(ISNUMBER((((NºAsuntos!C10+NºAsuntos!E10)/NºAsuntos!G10)-Datos!BG10)/Datos!BG10),(((NºAsuntos!C10+NºAsuntos!E10)/NºAsuntos!G10)-Datos!BG10)/Datos!BG10," - ")</f>
        <v>-1.3574660633484115E-2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-1</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0.23873610298420128</v>
      </c>
      <c r="C13" s="855">
        <f>IF(ISNUMBER(
   IF(J_V="SI",(Datos!J13-Datos!T13)/Datos!T13,(Datos!J13+Datos!Z13-(Datos!T13+Datos!AH13))/(Datos!T13+Datos!AH13))
     ),IF(J_V="SI",(Datos!J13-Datos!T13)/Datos!T13,(Datos!J13+Datos!Z13-(Datos!T13+Datos!AH13))/(Datos!T13+Datos!AH13))," - ")</f>
        <v>0.3488996242619431</v>
      </c>
      <c r="D13" s="855">
        <f>IF(ISNUMBER(
   IF(J_V="SI",(Datos!K13-Datos!U13)/Datos!U13,(Datos!K13+Datos!AA13-(Datos!U13+Datos!AI13))/(Datos!U13+Datos!AI13))
     ),IF(J_V="SI",(Datos!K13-Datos!U13)/Datos!U13,(Datos!K13+Datos!AA13-(Datos!U13+Datos!AI13))/(Datos!U13+Datos!AI13))," - ")</f>
        <v>0.23334546778303603</v>
      </c>
      <c r="E13" s="855">
        <f>IF(ISNUMBER(
   IF(J_V="SI",(Datos!L13-Datos!V13)/Datos!V13,(Datos!L13+Datos!AB13-(Datos!V13+Datos!AJ13))/(Datos!V13+Datos!AJ13))
     ),IF(J_V="SI",(Datos!L13-Datos!V13)/Datos!V13,(Datos!L13+Datos!AB13-(Datos!V13+Datos!AJ13))/(Datos!V13+Datos!AJ13))," - ")</f>
        <v>0.27721890857295467</v>
      </c>
      <c r="F13" s="856">
        <f>IF(ISNUMBER((Datos!M13-Datos!W13)/Datos!W13),(Datos!M13-Datos!W13)/Datos!W13," - ")</f>
        <v>0.48031496062992124</v>
      </c>
      <c r="G13" s="857">
        <f>IF(ISNUMBER((Datos!N13-Datos!X13)/Datos!X13),(Datos!N13-Datos!X13)/Datos!X13," - ")</f>
        <v>0.39272503082614058</v>
      </c>
      <c r="H13" s="857">
        <f>IF(ISNUMBER(((NºAsuntos!G13/NºAsuntos!E13)-Datos!BD13)/Datos!BD13),((NºAsuntos!G13/NºAsuntos!E13)-Datos!BD13)/Datos!BD13," - ")</f>
        <v>-8.5665496824593679E-2</v>
      </c>
      <c r="I13" s="857">
        <f>IF(ISNUMBER(((NºAsuntos!I13/NºAsuntos!G13)-Datos!BE13)/Datos!BE13),((NºAsuntos!I13/NºAsuntos!G13)-Datos!BE13)/Datos!BE13," - ")</f>
        <v>3.557271010918138E-2</v>
      </c>
      <c r="J13" s="857">
        <f>IF(ISNUMBER((('Resol  Asuntos'!D13/NºAsuntos!G13)-Datos!BF13)/Datos!BF13),(('Resol  Asuntos'!D13/NºAsuntos!G13)-Datos!BF13)/Datos!BF13," - ")</f>
        <v>-0.62362732665762965</v>
      </c>
      <c r="K13" s="857">
        <f>IF(ISNUMBER((((NºAsuntos!C13+NºAsuntos!E13)/NºAsuntos!G13)-Datos!BG13)/Datos!BG13),(((NºAsuntos!C13+NºAsuntos!E13)/NºAsuntos!G13)-Datos!BG13)/Datos!BG13," - ")</f>
        <v>2.8176869300552583E-2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-5.8342623560014864E-2</v>
      </c>
      <c r="C15" s="456">
        <f>IF(ISNUMBER(
   IF(D_I="SI",(Datos!J15-Datos!T15)/Datos!T15,(Datos!J15+Datos!AD15-(Datos!T15+Datos!AL15))/(Datos!T15+Datos!AL15))
     ),IF(D_I="SI",(Datos!J15-Datos!T15)/Datos!T15,(Datos!J15+Datos!AD15-(Datos!T15+Datos!AL15))/(Datos!T15+Datos!AL15))," - ")</f>
        <v>0.16950728230554696</v>
      </c>
      <c r="D15" s="456">
        <f>IF(ISNUMBER(
   IF(D_I="SI",(Datos!K15-Datos!U15)/Datos!U15,(Datos!K15+Datos!AE15-(Datos!U15+Datos!AM15))/(Datos!U15+Datos!AM15))
     ),IF(D_I="SI",(Datos!K15-Datos!U15)/Datos!U15,(Datos!K15+Datos!AE15-(Datos!U15+Datos!AM15))/(Datos!U15+Datos!AM15))," - ")</f>
        <v>0.40178904211703315</v>
      </c>
      <c r="E15" s="456">
        <f>IF(ISNUMBER(
   IF(D_I="SI",(Datos!L15-Datos!V15)/Datos!V15,(Datos!L15+Datos!AF15-(Datos!V15+Datos!AN15))/(Datos!V15+Datos!AN15))
     ),IF(D_I="SI",(Datos!L15-Datos!V15)/Datos!V15,(Datos!L15+Datos!AF15-(Datos!V15+Datos!AN15))/(Datos!V15+Datos!AN15))," - ")</f>
        <v>-0.21051004636785162</v>
      </c>
      <c r="F15" s="456">
        <f>IF(ISNUMBER((Datos!M15-Datos!W15)/Datos!W15),(Datos!M15-Datos!W15)/Datos!W15," - ")</f>
        <v>0.53754940711462451</v>
      </c>
      <c r="G15" s="457">
        <f>IF(ISNUMBER((Datos!N15-Datos!X15)/Datos!X15),(Datos!N15-Datos!X15)/Datos!X15," - ")</f>
        <v>0.39413202933985331</v>
      </c>
      <c r="H15" s="455">
        <f>IF(ISNUMBER(((NºAsuntos!G15/NºAsuntos!E15)-Datos!BD15)/Datos!BD15),((NºAsuntos!G15/NºAsuntos!E15)-Datos!BD15)/Datos!BD15," - ")</f>
        <v>0.19861506065491946</v>
      </c>
      <c r="I15" s="456">
        <f>IF(ISNUMBER(((NºAsuntos!I15/NºAsuntos!G15)-Datos!BE15)/Datos!BE15),((NºAsuntos!I15/NºAsuntos!G15)-Datos!BE15)/Datos!BE15," - ")</f>
        <v>-0.43679831279046688</v>
      </c>
      <c r="J15" s="461">
        <f>IF(ISNUMBER((('Resol  Asuntos'!D15/NºAsuntos!G15)-Datos!BF15)/Datos!BF15),(('Resol  Asuntos'!D15/NºAsuntos!G15)-Datos!BF15)/Datos!BF15," - ")</f>
        <v>9.6847928553187412E-2</v>
      </c>
      <c r="K15" s="462">
        <f>IF(ISNUMBER((((NºAsuntos!C15+NºAsuntos!E15)/NºAsuntos!G15)-Datos!BG15)/Datos!BG15),(((NºAsuntos!C15+NºAsuntos!E15)/NºAsuntos!G15)-Datos!BG15)/Datos!BG15," - ")</f>
        <v>-0.23961408594045053</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-0.1111111111111111</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-0.1111111111111111</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0.70967741935483875</v>
      </c>
      <c r="C17" s="456">
        <f>IF(ISNUMBER(
   IF(D_I="SI",(Datos!J17-Datos!T17)/Datos!T17,(Datos!J17+Datos!AD17-(Datos!T17+Datos!AL17))/(Datos!T17+Datos!AL17))
     ),IF(D_I="SI",(Datos!J17-Datos!T17)/Datos!T17,(Datos!J17+Datos!AD17-(Datos!T17+Datos!AL17))/(Datos!T17+Datos!AL17))," - ")</f>
        <v>0.34334763948497854</v>
      </c>
      <c r="D17" s="456">
        <f>IF(ISNUMBER(
   IF(D_I="SI",(Datos!K17-Datos!U17)/Datos!U17,(Datos!K17+Datos!AE17-(Datos!U17+Datos!AM17))/(Datos!U17+Datos!AM17))
     ),IF(D_I="SI",(Datos!K17-Datos!U17)/Datos!U17,(Datos!K17+Datos!AE17-(Datos!U17+Datos!AM17))/(Datos!U17+Datos!AM17))," - ")</f>
        <v>0.36956521739130432</v>
      </c>
      <c r="E17" s="456">
        <f>IF(ISNUMBER(
   IF(D_I="SI",(Datos!L17-Datos!V17)/Datos!V17,(Datos!L17+Datos!AF17-(Datos!V17+Datos!AN17))/(Datos!V17+Datos!AN17))
     ),IF(D_I="SI",(Datos!L17-Datos!V17)/Datos!V17,(Datos!L17+Datos!AF17-(Datos!V17+Datos!AN17))/(Datos!V17+Datos!AN17))," - ")</f>
        <v>0.21518987341772153</v>
      </c>
      <c r="F17" s="456">
        <f>IF(ISNUMBER((Datos!M17-Datos!W17)/Datos!W17),(Datos!M17-Datos!W17)/Datos!W17," - ")</f>
        <v>-0.15</v>
      </c>
      <c r="G17" s="457">
        <f>IF(ISNUMBER((Datos!N17-Datos!X17)/Datos!X17),(Datos!N17-Datos!X17)/Datos!X17," - ")</f>
        <v>0.27380952380952384</v>
      </c>
      <c r="H17" s="455">
        <f>IF(ISNUMBER(((NºAsuntos!G17/NºAsuntos!E17)-Datos!BD17)/Datos!BD17),((NºAsuntos!G17/NºAsuntos!E17)-Datos!BD17)/Datos!BD17," - ")</f>
        <v>1.9516599527712307E-2</v>
      </c>
      <c r="I17" s="456">
        <f>IF(ISNUMBER(((NºAsuntos!I17/NºAsuntos!G17)-Datos!BE17)/Datos!BE17),((NºAsuntos!I17/NºAsuntos!G17)-Datos!BE17)/Datos!BE17," - ")</f>
        <v>-0.11271850512356837</v>
      </c>
      <c r="J17" s="461">
        <f>IF(ISNUMBER((('Resol  Asuntos'!D17/NºAsuntos!G17)-Datos!BF17)/Datos!BF17),(('Resol  Asuntos'!D17/NºAsuntos!G17)-Datos!BF17)/Datos!BF17," - ")</f>
        <v>-0.37936507936507929</v>
      </c>
      <c r="K17" s="462">
        <f>IF(ISNUMBER((((NºAsuntos!C17+NºAsuntos!E17)/NºAsuntos!G17)-Datos!BG17)/Datos!BG17),(((NºAsuntos!C17+NºAsuntos!E17)/NºAsuntos!G17)-Datos!BG17)/Datos!BG17," - ")</f>
        <v>8.7710685648829917E-2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-1.6812609457092821E-2</v>
      </c>
      <c r="C18" s="855">
        <f>IF(ISNUMBER(
   IF(Criterios!B14="SI",(Datos!J18-Datos!T18)/Datos!T18,(Datos!J18+Datos!AD18-(Datos!T18+Datos!AL18))/(Datos!T18+Datos!AL18))
     ),IF(Criterios!B14="SI",(Datos!J18-Datos!T18)/Datos!T18,(Datos!J18+Datos!AD18-(Datos!T18+Datos!AL18))/(Datos!T18+Datos!AL18))," - ")</f>
        <v>0.18121387283236995</v>
      </c>
      <c r="D18" s="855">
        <f>IF(ISNUMBER(
   IF(Criterios!B14="SI",(Datos!K18-Datos!U18)/Datos!U18,(Datos!K18+Datos!AE18-(Datos!U18+Datos!AM18))/(Datos!U18+Datos!AM18))
     ),IF(Criterios!B14="SI",(Datos!K18-Datos!U18)/Datos!U18,(Datos!K18+Datos!AE18-(Datos!U18+Datos!AM18))/(Datos!U18+Datos!AM18))," - ")</f>
        <v>0.39924476484723653</v>
      </c>
      <c r="E18" s="855">
        <f>IF(ISNUMBER(
   IF(Criterios!B14="SI",(Datos!L18-Datos!V18)/Datos!V18,(Datos!L18+Datos!AF18-(Datos!V18+Datos!AN18))/(Datos!V18+Datos!AN18))
     ),IF(Criterios!B14="SI",(Datos!L18-Datos!V18)/Datos!V18,(Datos!L18+Datos!AF18-(Datos!V18+Datos!AN18))/(Datos!V18+Datos!AN18))," - ")</f>
        <v>-0.19047619047619047</v>
      </c>
      <c r="F18" s="856">
        <f>IF(ISNUMBER((Datos!M18-Datos!W18)/Datos!W18),(Datos!M18-Datos!W18)/Datos!W18," - ")</f>
        <v>0.40575079872204473</v>
      </c>
      <c r="G18" s="857">
        <f>IF(ISNUMBER((Datos!N18-Datos!X18)/Datos!X18),(Datos!N18-Datos!X18)/Datos!X18," - ")</f>
        <v>0.38499774062358788</v>
      </c>
      <c r="H18" s="857">
        <f>IF(ISNUMBER(((NºAsuntos!G18/NºAsuntos!E18)-Datos!BD18)/Datos!BD18),((NºAsuntos!G18/NºAsuntos!E18)-Datos!BD18)/Datos!BD18," - ")</f>
        <v>0.18458206174980138</v>
      </c>
      <c r="I18" s="857">
        <f>IF(ISNUMBER(((NºAsuntos!I18/NºAsuntos!G18)-Datos!BE18)/Datos!BE18),((NºAsuntos!I18/NºAsuntos!G18)-Datos!BE18)/Datos!BE18," - ")</f>
        <v>-0.42145661012196822</v>
      </c>
      <c r="J18" s="857">
        <f>IF(ISNUMBER((('Resol  Asuntos'!D18/NºAsuntos!G18)-Datos!BF18)/Datos!BF18),(('Resol  Asuntos'!D18/NºAsuntos!G18)-Datos!BF18)/Datos!BF18," - ")</f>
        <v>4.6496753379088171E-3</v>
      </c>
      <c r="K18" s="857">
        <f>IF(ISNUMBER((((NºAsuntos!C18+NºAsuntos!E18)/NºAsuntos!G18)-Datos!BG18)/Datos!BG18),(((NºAsuntos!C18+NºAsuntos!E18)/NºAsuntos!G18)-Datos!BG18)/Datos!BG18," - ")</f>
        <v>-0.21980307646404768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0.1830803264932489</v>
      </c>
      <c r="C19" s="802">
        <f>IF(ISNUMBER(
   IF(J_V="SI",(Datos!J19-Datos!T19)/Datos!T19,(Datos!J19+Datos!Z19-(Datos!T19+Datos!AH19))/(Datos!T19+Datos!AH19))
     ),IF(J_V="SI",(Datos!J19-Datos!T19)/Datos!T19,(Datos!J19+Datos!Z19-(Datos!T19+Datos!AH19))/(Datos!T19+Datos!AH19))," - ")</f>
        <v>0.26816031171722793</v>
      </c>
      <c r="D19" s="802">
        <f>IF(ISNUMBER(
   IF(J_V="SI",(Datos!K19-Datos!U19)/Datos!U19,(Datos!K19+Datos!AA19-(Datos!U19+Datos!AI19))/(Datos!U19+Datos!AI19))
     ),IF(J_V="SI",(Datos!K19-Datos!U19)/Datos!U19,(Datos!K19+Datos!AA19-(Datos!U19+Datos!AI19))/(Datos!U19+Datos!AI19))," - ")</f>
        <v>0.31872791519434629</v>
      </c>
      <c r="E19" s="802">
        <f>IF(ISNUMBER(
   IF(J_V="SI",(Datos!L19-Datos!V19)/Datos!V19,(Datos!L19+Datos!AB19-(Datos!V19+Datos!AJ19))/(Datos!V19+Datos!AJ19))
     ),IF(J_V="SI",(Datos!L19-Datos!V19)/Datos!V19,(Datos!L19+Datos!AB19-(Datos!V19+Datos!AJ19))/(Datos!V19+Datos!AJ19))," - ")</f>
        <v>0.16850017082336863</v>
      </c>
      <c r="F19" s="803">
        <f>IF(ISNUMBER((Datos!M19-Datos!W19)/Datos!W19),(Datos!M19-Datos!W19)/Datos!W19," - ")</f>
        <v>0.45188794153471379</v>
      </c>
      <c r="G19" s="804">
        <f>IF(ISNUMBER((Datos!N19-Datos!X19)/Datos!X19),(Datos!N19-Datos!X19)/Datos!X19," - ")</f>
        <v>0.38826597131681878</v>
      </c>
      <c r="H19" s="805">
        <f>IF(ISNUMBER((Tasas!B19-Datos!BD19)/Datos!BD19),(Tasas!B19-Datos!BD19)/Datos!BD19," - ")</f>
        <v>3.9874772148202911E-2</v>
      </c>
      <c r="I19" s="806">
        <f>IF(ISNUMBER((Tasas!C19-Datos!BE19)/Datos!BE19),(Tasas!C19-Datos!BE19)/Datos!BE19," - ")</f>
        <v>-0.11391868075291182</v>
      </c>
      <c r="J19" s="807">
        <f>IF(ISNUMBER((Tasas!D19-Datos!BF19)/Datos!BF19),(Tasas!D19-Datos!BF19)/Datos!BF19," - ")</f>
        <v>-0.5323841731222092</v>
      </c>
      <c r="K19" s="807">
        <f>IF(ISNUMBER((Tasas!E19-Datos!BG19)/Datos!BG19),(Tasas!E19-Datos!BG19)/Datos!BG19," - ")</f>
        <v>-8.0018547432867917E-2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dEYSGO17aakrnzjKqMLJjAljTmP5DYgnwGX+/td3l3CE0U0NE+7hp/ZXT2pBFNL+dVQ2RlM9BxvHVODH5Y03A==" saltValue="O1yd61lme9LC6sqIJkjPM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LAS PALMAS</v>
      </c>
    </row>
    <row r="4" spans="1:7" ht="11.25" customHeight="1" thickBot="1">
      <c r="B4" s="391" t="str">
        <f>Criterios!A11 &amp;"  "&amp;Criterios!B11</f>
        <v>Resumenes por Partidos Judiciales  SAN BARTOLOME DE TIRAJANA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0.6715940870954854</v>
      </c>
      <c r="C9" s="443">
        <f>IF(ISNUMBER(NºAsuntos!I9/NºAsuntos!G9),NºAsuntos!I9/NºAsuntos!G9," - ")</f>
        <v>4.2427126710291496</v>
      </c>
      <c r="D9" s="444">
        <f>IF(ISNUMBER('Resol  Asuntos'!D9/NºAsuntos!G9),'Resol  Asuntos'!D9/NºAsuntos!G9," - ")</f>
        <v>0.22099940511600238</v>
      </c>
      <c r="E9" s="445">
        <f>IF(ISNUMBER((NºAsuntos!C9+NºAsuntos!E9)/NºAsuntos!G9),(NºAsuntos!C9+NºAsuntos!E9)/NºAsuntos!G9," - ")</f>
        <v>5.2406305770374777</v>
      </c>
      <c r="G9" s="463"/>
    </row>
    <row r="10" spans="1:7">
      <c r="A10" s="402" t="str">
        <f>Datos!A10</f>
        <v>Jdos. Violencia contra la mujer</v>
      </c>
      <c r="B10" s="442">
        <f>IF(ISNUMBER(NºAsuntos!G10/NºAsuntos!E10),NºAsuntos!G10/NºAsuntos!E10," - ")</f>
        <v>1.3</v>
      </c>
      <c r="C10" s="443">
        <f>IF(ISNUMBER(NºAsuntos!I10/NºAsuntos!G10),NºAsuntos!I10/NºAsuntos!G10," - ")</f>
        <v>3.1923076923076925</v>
      </c>
      <c r="D10" s="444">
        <f>IF(ISNUMBER('Resol  Asuntos'!D10/NºAsuntos!G10),'Resol  Asuntos'!D10/NºAsuntos!G10," - ")</f>
        <v>0.34615384615384615</v>
      </c>
      <c r="E10" s="445">
        <f>IF(ISNUMBER((NºAsuntos!C10+NºAsuntos!E10)/NºAsuntos!G10),(NºAsuntos!C10+NºAsuntos!E10)/NºAsuntos!G10," - ")</f>
        <v>4.1923076923076925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0.6740947075208914</v>
      </c>
      <c r="C13" s="859">
        <f>IF(ISNUMBER(NºAsuntos!I13/NºAsuntos!G13),NºAsuntos!I13/NºAsuntos!G13," - ")</f>
        <v>4.2346517119244389</v>
      </c>
      <c r="D13" s="860">
        <f>IF(ISNUMBER('Resol  Asuntos'!D13/NºAsuntos!G13),'Resol  Asuntos'!D13/NºAsuntos!G13," - ")</f>
        <v>0.22195985832349469</v>
      </c>
      <c r="E13" s="861">
        <f>IF(ISNUMBER((NºAsuntos!C13+NºAsuntos!E13)/NºAsuntos!G13),(NºAsuntos!C13+NºAsuntos!E13)/NºAsuntos!G13," - ")</f>
        <v>5.2325855962219601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0.99655537890832013</v>
      </c>
      <c r="C15" s="443">
        <f>IF(ISNUMBER(NºAsuntos!I15/NºAsuntos!G15),NºAsuntos!I15/NºAsuntos!G15," - ")</f>
        <v>0.67907471417176279</v>
      </c>
      <c r="D15" s="444">
        <f>IF(ISNUMBER('Resol  Asuntos'!D15/NºAsuntos!G15),'Resol  Asuntos'!D15/NºAsuntos!G15," - ")</f>
        <v>0.10342993884605159</v>
      </c>
      <c r="E15" s="445">
        <f>IF(ISNUMBER((NºAsuntos!C15+NºAsuntos!E15)/NºAsuntos!G15),(NºAsuntos!C15+NºAsuntos!E15)/NºAsuntos!G15," - ")</f>
        <v>1.6772135070459984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1.0063897763578276</v>
      </c>
      <c r="C17" s="443">
        <f>IF(ISNUMBER(NºAsuntos!I17/NºAsuntos!G17),NºAsuntos!I17/NºAsuntos!G17," - ")</f>
        <v>0.60952380952380958</v>
      </c>
      <c r="D17" s="444">
        <f>IF(ISNUMBER('Resol  Asuntos'!D17/NºAsuntos!G17),'Resol  Asuntos'!D17/NºAsuntos!G17," - ")</f>
        <v>0.16190476190476191</v>
      </c>
      <c r="E17" s="445">
        <f>IF(ISNUMBER((NºAsuntos!C17+NºAsuntos!E17)/NºAsuntos!G17),(NºAsuntos!C17+NºAsuntos!E17)/NºAsuntos!G17," - ")</f>
        <v>1.8349206349206348</v>
      </c>
      <c r="G17" s="463"/>
    </row>
    <row r="18" spans="1:7" ht="14.25" thickTop="1" thickBot="1">
      <c r="A18" s="848" t="str">
        <f>Datos!A18</f>
        <v>TOTAL</v>
      </c>
      <c r="B18" s="858">
        <f>IF(ISNUMBER(NºAsuntos!G18/NºAsuntos!E18),NºAsuntos!G18/NºAsuntos!E18," - ")</f>
        <v>0.99730853927085883</v>
      </c>
      <c r="C18" s="859">
        <f>IF(ISNUMBER(NºAsuntos!I18/NºAsuntos!G18),NºAsuntos!I18/NºAsuntos!G18," - ")</f>
        <v>0.67566241413150152</v>
      </c>
      <c r="D18" s="862">
        <f>IF(ISNUMBER('Resol  Asuntos'!D18/NºAsuntos!G18),'Resol  Asuntos'!D18/NºAsuntos!G18," - ")</f>
        <v>0.10794896957801767</v>
      </c>
      <c r="E18" s="861">
        <f>IF(ISNUMBER((NºAsuntos!C18+NºAsuntos!E18)/NºAsuntos!G18),(NºAsuntos!C18+NºAsuntos!E18)/NºAsuntos!G18," - ")</f>
        <v>1.6913640824337586</v>
      </c>
      <c r="G18" s="463"/>
    </row>
    <row r="19" spans="1:7" ht="15.75" customHeight="1" thickTop="1" thickBot="1">
      <c r="A19" s="793" t="str">
        <f>Datos!A19</f>
        <v>TOTAL JURISDICCIONES</v>
      </c>
      <c r="B19" s="808">
        <f>IF(ISNUMBER(NºAsuntos!G19/NºAsuntos!E19),NºAsuntos!G19/NºAsuntos!E19," - ")</f>
        <v>0.8190497092066279</v>
      </c>
      <c r="C19" s="809">
        <f>IF(ISNUMBER(NºAsuntos!I19/NºAsuntos!G19),NºAsuntos!I19/NºAsuntos!G19," - ")</f>
        <v>2.2911307609860665</v>
      </c>
      <c r="D19" s="810">
        <f>IF(ISNUMBER('Resol  Asuntos'!D19/NºAsuntos!G19),'Resol  Asuntos'!D19/NºAsuntos!G19," - ")</f>
        <v>0.15969989281886388</v>
      </c>
      <c r="E19" s="811">
        <f>IF(ISNUMBER((NºAsuntos!C19+NºAsuntos!E19)/NºAsuntos!G19),(NºAsuntos!C19+NºAsuntos!E19)/NºAsuntos!G19," - ")</f>
        <v>3.2987674169346195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Rq1/JYELjxK1K5AWu8wSIU2DJ7mLqoBY+jZ7t48yNfSK4pkXJBTSAnU2S5adv4GyI3zP3C5uCn3WICDiW6Iaw==" saltValue="gRBTmCR9CFqc3KMVLH+cF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LAS PALMAS</v>
      </c>
      <c r="N2" s="262" t="str">
        <f>Criterios!A11 &amp;"  "&amp;Criterios!B11</f>
        <v>Resumenes por Partidos Judiciales  SAN BARTOLOME DE TIRAJANA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376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381</v>
      </c>
      <c r="Y9" s="334">
        <f>SUM(W9:X9)</f>
        <v>381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10604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743</v>
      </c>
      <c r="AJ9" s="229" t="str">
        <f>IF(ISNUMBER(Datos!BW9),Datos!BW9," - ")</f>
        <v xml:space="preserve"> - </v>
      </c>
      <c r="AK9" s="228" t="str">
        <f>IF(ISNUMBER(Datos!BX9),Datos!BX9," - ")</f>
        <v xml:space="preserve"> - </v>
      </c>
      <c r="AL9" s="243">
        <f>IF(ISNUMBER(NºAsuntos!G9/NºAsuntos!E9),NºAsuntos!G9/NºAsuntos!E9," - ")</f>
        <v>0.6715940870954854</v>
      </c>
      <c r="AM9" s="260">
        <f>IF(ISNUMBER(((NºAsuntos!I9/NºAsuntos!G9)*11)/factor_trimestre),((NºAsuntos!I9/NºAsuntos!G9)*11)/factor_trimestre," - ")</f>
        <v>12.728138013087449</v>
      </c>
      <c r="AN9" s="244">
        <f>IF(ISNUMBER('Resol  Asuntos'!D9/NºAsuntos!G9),'Resol  Asuntos'!D9/NºAsuntos!G9," - ")</f>
        <v>0.22099940511600238</v>
      </c>
      <c r="AO9" s="245">
        <f>IF(ISNUMBER((NºAsuntos!C9+NºAsuntos!E9)/NºAsuntos!G9),(NºAsuntos!C9+NºAsuntos!E9)/NºAsuntos!G9," - ")</f>
        <v>5.2406305770374777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89</v>
      </c>
      <c r="G10" s="333">
        <f>IF(ISNUMBER(Datos!I10),Datos!I10," - ")</f>
        <v>89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26</v>
      </c>
      <c r="X10" s="226">
        <f>IF(ISNUMBER(Datos!Q10),Datos!Q10," - ")</f>
        <v>1</v>
      </c>
      <c r="Y10" s="334">
        <f t="shared" ref="Y10:Y12" si="0">SUM(W10:X10)</f>
        <v>27</v>
      </c>
      <c r="Z10" s="335" t="str">
        <f>IF(ISNUMBER(Datos!CC10),Datos!CC10," - ")</f>
        <v xml:space="preserve"> - </v>
      </c>
      <c r="AA10" s="332">
        <f>IF(ISNUMBER(Datos!L10),Datos!L10,"-")</f>
        <v>83</v>
      </c>
      <c r="AB10" s="334">
        <f>IF(ISNUMBER(Datos!R10),Datos!R10," - ")</f>
        <v>51</v>
      </c>
      <c r="AC10" s="334">
        <f t="shared" ref="AC10:AC12" si="1">IF(ISNUMBER(AA10+AB10),AA10+AB10," - ")</f>
        <v>134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1.3</v>
      </c>
      <c r="AM10" s="260">
        <f>IF(ISNUMBER(((NºAsuntos!I10/NºAsuntos!G10)*11)/factor_trimestre),((NºAsuntos!I10/NºAsuntos!G10)*11)/factor_trimestre," - ")</f>
        <v>9.5769230769230784</v>
      </c>
      <c r="AN10" s="244">
        <f>IF(ISNUMBER('Resol  Asuntos'!D10/NºAsuntos!G10),'Resol  Asuntos'!D10/NºAsuntos!G10," - ")</f>
        <v>0.34615384615384615</v>
      </c>
      <c r="AO10" s="245">
        <f>IF(ISNUMBER((NºAsuntos!C10+NºAsuntos!E10)/NºAsuntos!G10),(NºAsuntos!C10+NºAsuntos!E10)/NºAsuntos!G10," - ")</f>
        <v>4.1923076923076925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v>
      </c>
      <c r="Y12" s="334">
        <f t="shared" si="0"/>
        <v>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89</v>
      </c>
      <c r="G13" s="866">
        <f t="shared" si="3"/>
        <v>89</v>
      </c>
      <c r="H13" s="865">
        <f t="shared" si="3"/>
        <v>0</v>
      </c>
      <c r="I13" s="867">
        <f t="shared" si="3"/>
        <v>0</v>
      </c>
      <c r="J13" s="867">
        <f t="shared" si="3"/>
        <v>0</v>
      </c>
      <c r="K13" s="867">
        <f t="shared" si="3"/>
        <v>0</v>
      </c>
      <c r="L13" s="867">
        <f t="shared" si="3"/>
        <v>384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26</v>
      </c>
      <c r="X13" s="867">
        <f t="shared" si="4"/>
        <v>399</v>
      </c>
      <c r="Y13" s="868">
        <f t="shared" si="4"/>
        <v>425</v>
      </c>
      <c r="Z13" s="868">
        <f t="shared" si="4"/>
        <v>0</v>
      </c>
      <c r="AA13" s="868">
        <f t="shared" si="4"/>
        <v>83</v>
      </c>
      <c r="AB13" s="868">
        <f t="shared" si="4"/>
        <v>11183</v>
      </c>
      <c r="AC13" s="868">
        <f t="shared" si="4"/>
        <v>134</v>
      </c>
      <c r="AD13" s="868">
        <f t="shared" si="4"/>
        <v>0</v>
      </c>
      <c r="AE13" s="872">
        <f t="shared" si="4"/>
        <v>0</v>
      </c>
      <c r="AF13" s="865">
        <f t="shared" si="4"/>
        <v>0</v>
      </c>
      <c r="AG13" s="873">
        <f t="shared" si="4"/>
        <v>0</v>
      </c>
      <c r="AH13" s="870">
        <f t="shared" si="4"/>
        <v>0</v>
      </c>
      <c r="AI13" s="865">
        <f t="shared" si="4"/>
        <v>752</v>
      </c>
      <c r="AJ13" s="867">
        <f t="shared" si="4"/>
        <v>0</v>
      </c>
      <c r="AK13" s="870">
        <f>SUBTOTAL(9,AK9:AK12)</f>
        <v>0</v>
      </c>
      <c r="AL13" s="874">
        <f>IF(ISNUMBER(NºAsuntos!G13/NºAsuntos!E13),NºAsuntos!G13/NºAsuntos!E13," - ")</f>
        <v>0.6740947075208914</v>
      </c>
      <c r="AM13" s="874">
        <f>IF(ISNUMBER(((NºAsuntos!I13/NºAsuntos!G13)*11)/factor_trimestre),((NºAsuntos!I13/NºAsuntos!G13)*11)/factor_trimestre," - ")</f>
        <v>12.703955135773317</v>
      </c>
      <c r="AN13" s="875">
        <f>IF(ISNUMBER('Resol  Asuntos'!D13/NºAsuntos!G13),'Resol  Asuntos'!D13/NºAsuntos!G13," - ")</f>
        <v>0.22195985832349469</v>
      </c>
      <c r="AO13" s="876">
        <f>IF(ISNUMBER((NºAsuntos!C13+NºAsuntos!E13)/NºAsuntos!G13),(NºAsuntos!C13+NºAsuntos!E13)/NºAsuntos!G13," - ")</f>
        <v>5.2325855962219601</v>
      </c>
      <c r="AP13" s="877" t="str">
        <f t="shared" si="2"/>
        <v xml:space="preserve"> - </v>
      </c>
      <c r="AQ13" s="877">
        <f>IF(ISNUMBER((H13-W13+K13)/(F13)),(H13-W13+K13)/(F13)," - ")</f>
        <v>-0.29213483146067415</v>
      </c>
      <c r="AR13" s="878">
        <f>IF(ISNUMBER((Datos!P13-Datos!Q13)/(Datos!R13-Datos!P13+Datos!Q13)),(Datos!P13-Datos!Q13)/(Datos!R13-Datos!P13+Datos!Q13)," - ")</f>
        <v>-1.339524915163422E-3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2541</v>
      </c>
      <c r="G15" s="333">
        <f>IF(ISNUMBER(IF(D_I="SI",Datos!I15,Datos!I15+Datos!AC15)),IF(D_I="SI",Datos!I15,Datos!I15+Datos!AC15)," - ")</f>
        <v>2534</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128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3761</v>
      </c>
      <c r="X15" s="226">
        <f>IF(ISNUMBER(Datos!Q15),Datos!Q15," - ")</f>
        <v>100</v>
      </c>
      <c r="Y15" s="334">
        <f>SUM(W15)</f>
        <v>3761</v>
      </c>
      <c r="Z15" s="335" t="str">
        <f>IF(ISNUMBER(Datos!CC15),Datos!CC15," - ")</f>
        <v xml:space="preserve"> - </v>
      </c>
      <c r="AA15" s="332">
        <f>IF(ISNUMBER(IF(D_I="SI",Datos!L15,Datos!L15+Datos!AF15)),IF(D_I="SI",Datos!L15,Datos!L15+Datos!AF15)," - ")</f>
        <v>2554</v>
      </c>
      <c r="AB15" s="334">
        <f>IF(ISNUMBER(Datos!R15),Datos!R15," - ")</f>
        <v>583</v>
      </c>
      <c r="AC15" s="334">
        <f t="shared" ref="AC15:AC17" si="6">IF(ISNUMBER(AA15+AB15),AA15+AB15," - ")</f>
        <v>3137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389</v>
      </c>
      <c r="AJ15" s="231" t="str">
        <f>IF(ISNUMBER(Datos!BW15),Datos!BW15," - ")</f>
        <v xml:space="preserve"> - </v>
      </c>
      <c r="AK15" s="232" t="str">
        <f>IF(ISNUMBER(Datos!BX15),Datos!BX15," - ")</f>
        <v xml:space="preserve"> - </v>
      </c>
      <c r="AL15" s="243">
        <f>IF(ISNUMBER(NºAsuntos!G15/NºAsuntos!E15),NºAsuntos!G15/NºAsuntos!E15," - ")</f>
        <v>0.99655537890832013</v>
      </c>
      <c r="AM15" s="260">
        <f>IF(ISNUMBER(((NºAsuntos!I15/NºAsuntos!G15)*11)/factor_trimestre),((NºAsuntos!I15/NºAsuntos!G15)*11)/factor_trimestre," - ")</f>
        <v>2.0372241425152886</v>
      </c>
      <c r="AN15" s="244">
        <f>IF(ISNUMBER('Resol  Asuntos'!D15/NºAsuntos!G15),'Resol  Asuntos'!D15/NºAsuntos!G15," - ")</f>
        <v>0.10342993884605159</v>
      </c>
      <c r="AO15" s="245">
        <f>IF(ISNUMBER((NºAsuntos!C15+NºAsuntos!E15)/NºAsuntos!G15),(NºAsuntos!C15+NºAsuntos!E15)/NºAsuntos!G15," - ")</f>
        <v>1.6772135070459984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8</v>
      </c>
      <c r="G16" s="333">
        <f>IF(ISNUMBER(IF(D_I="SI",Datos!I16,Datos!I16+Datos!AC16)),IF(D_I="SI",Datos!I16,Datos!I16+Datos!AC16)," - ")</f>
        <v>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2</v>
      </c>
      <c r="Y16" s="334">
        <f t="shared" ref="Y16:Y17" si="7">SUM(W16:X16)</f>
        <v>2</v>
      </c>
      <c r="Z16" s="335" t="str">
        <f>IF(ISNUMBER(Datos!CC16),Datos!CC16," - ")</f>
        <v xml:space="preserve"> - </v>
      </c>
      <c r="AA16" s="332">
        <f>IF(ISNUMBER(IF(D_I="SI",Datos!L16,Datos!L16+Datos!AF16)),IF(D_I="SI",Datos!L16,Datos!L16+Datos!AF16)," - ")</f>
        <v>8</v>
      </c>
      <c r="AB16" s="334">
        <f>IF(ISNUMBER(Datos!R16),Datos!R16," - ")</f>
        <v>0</v>
      </c>
      <c r="AC16" s="334">
        <f t="shared" si="6"/>
        <v>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265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315</v>
      </c>
      <c r="X17" s="226">
        <f>IF(ISNUMBER(Datos!Q17),Datos!Q17," - ")</f>
        <v>8</v>
      </c>
      <c r="Y17" s="334">
        <f t="shared" si="7"/>
        <v>323</v>
      </c>
      <c r="Z17" s="335" t="str">
        <f>IF(ISNUMBER(Datos!CC17),Datos!CC17," - ")</f>
        <v xml:space="preserve"> - </v>
      </c>
      <c r="AA17" s="332">
        <f>IF(ISNUMBER(Datos!L17),Datos!L17,"-")</f>
        <v>192</v>
      </c>
      <c r="AB17" s="334">
        <f>IF(ISNUMBER(Datos!R17),Datos!R17," - ")</f>
        <v>25</v>
      </c>
      <c r="AC17" s="334">
        <f t="shared" si="6"/>
        <v>217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51</v>
      </c>
      <c r="AJ17" s="231" t="str">
        <f>IF(ISNUMBER(Datos!BW17),Datos!BW17," - ")</f>
        <v xml:space="preserve"> - </v>
      </c>
      <c r="AK17" s="232" t="str">
        <f>IF(ISNUMBER(Datos!BX17),Datos!BX17," - ")</f>
        <v xml:space="preserve"> - </v>
      </c>
      <c r="AL17" s="243">
        <f>IF(ISNUMBER(NºAsuntos!G17/NºAsuntos!E17),NºAsuntos!G17/NºAsuntos!E17," - ")</f>
        <v>1.0063897763578276</v>
      </c>
      <c r="AM17" s="260">
        <f>IF(ISNUMBER(((NºAsuntos!I17/NºAsuntos!G17)*11)/factor_trimestre),((NºAsuntos!I17/NºAsuntos!G17)*11)/factor_trimestre," - ")</f>
        <v>1.828571428571429</v>
      </c>
      <c r="AN17" s="244">
        <f>IF(ISNUMBER('Resol  Asuntos'!D17/NºAsuntos!G17),'Resol  Asuntos'!D17/NºAsuntos!G17," - ")</f>
        <v>0.16190476190476191</v>
      </c>
      <c r="AO17" s="245">
        <f>IF(ISNUMBER((NºAsuntos!C17+NºAsuntos!E17)/NºAsuntos!G17),(NºAsuntos!C17+NºAsuntos!E17)/NºAsuntos!G17," - ")</f>
        <v>1.8349206349206348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2549</v>
      </c>
      <c r="G18" s="866">
        <f>SUBTOTAL(9,G15:G17)</f>
        <v>2807</v>
      </c>
      <c r="H18" s="865">
        <f t="shared" ref="H18:O18" si="10">SUBTOTAL(9,H14:H17)</f>
        <v>0</v>
      </c>
      <c r="I18" s="867">
        <f t="shared" si="10"/>
        <v>0</v>
      </c>
      <c r="J18" s="867">
        <f t="shared" si="10"/>
        <v>0</v>
      </c>
      <c r="K18" s="867">
        <f t="shared" si="10"/>
        <v>0</v>
      </c>
      <c r="L18" s="867">
        <f t="shared" si="10"/>
        <v>128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4076</v>
      </c>
      <c r="X18" s="867">
        <f t="shared" si="11"/>
        <v>110</v>
      </c>
      <c r="Y18" s="868">
        <f t="shared" si="11"/>
        <v>4086</v>
      </c>
      <c r="Z18" s="868">
        <f t="shared" si="11"/>
        <v>0</v>
      </c>
      <c r="AA18" s="868">
        <f t="shared" si="11"/>
        <v>2754</v>
      </c>
      <c r="AB18" s="868">
        <f t="shared" si="11"/>
        <v>608</v>
      </c>
      <c r="AC18" s="868">
        <f t="shared" si="11"/>
        <v>3362</v>
      </c>
      <c r="AD18" s="868">
        <f t="shared" si="11"/>
        <v>0</v>
      </c>
      <c r="AE18" s="872">
        <f t="shared" si="11"/>
        <v>0</v>
      </c>
      <c r="AF18" s="865">
        <f t="shared" si="11"/>
        <v>0</v>
      </c>
      <c r="AG18" s="873">
        <f t="shared" si="11"/>
        <v>0</v>
      </c>
      <c r="AH18" s="870">
        <f t="shared" si="11"/>
        <v>0</v>
      </c>
      <c r="AI18" s="865">
        <f t="shared" si="11"/>
        <v>440</v>
      </c>
      <c r="AJ18" s="867">
        <f t="shared" si="11"/>
        <v>0</v>
      </c>
      <c r="AK18" s="870">
        <f t="shared" si="11"/>
        <v>0</v>
      </c>
      <c r="AL18" s="874">
        <f>IF(ISNUMBER(NºAsuntos!G18/NºAsuntos!E18),NºAsuntos!G18/NºAsuntos!E18," - ")</f>
        <v>0.99730853927085883</v>
      </c>
      <c r="AM18" s="874">
        <f>IF(ISNUMBER(((NºAsuntos!I18/NºAsuntos!G18)*11)/factor_trimestre),((NºAsuntos!I18/NºAsuntos!G18)*11)/factor_trimestre," - ")</f>
        <v>2.0269872423945046</v>
      </c>
      <c r="AN18" s="875">
        <f>IF(ISNUMBER('Resol  Asuntos'!D18/NºAsuntos!G18),'Resol  Asuntos'!D18/NºAsuntos!G18," - ")</f>
        <v>0.10794896957801767</v>
      </c>
      <c r="AO18" s="876">
        <f>IF(ISNUMBER((NºAsuntos!C18+NºAsuntos!E18)/NºAsuntos!G18),(NºAsuntos!C18+NºAsuntos!E18)/NºAsuntos!G18," - ")</f>
        <v>1.6913640824337586</v>
      </c>
      <c r="AP18" s="877" t="str">
        <f t="shared" si="2"/>
        <v xml:space="preserve"> - </v>
      </c>
      <c r="AQ18" s="877">
        <f>IF(ISNUMBER((H18-W18+K18)/(F18)),(H18-W18+K18)/(F18)," - ")</f>
        <v>-1.5990584542958022</v>
      </c>
      <c r="AR18" s="878">
        <f>IF(ISNUMBER((Datos!P18-Datos!Q18)/(Datos!R18-Datos!P18+Datos!Q18)),(Datos!P18-Datos!Q18)/(Datos!R18-Datos!P18+Datos!Q18)," - ")</f>
        <v>3.0508474576271188E-2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2638</v>
      </c>
      <c r="G19" s="821">
        <f t="shared" si="13"/>
        <v>2896</v>
      </c>
      <c r="H19" s="820">
        <f t="shared" si="13"/>
        <v>0</v>
      </c>
      <c r="I19" s="822">
        <f t="shared" si="13"/>
        <v>0</v>
      </c>
      <c r="J19" s="822">
        <f t="shared" si="13"/>
        <v>0</v>
      </c>
      <c r="K19" s="881">
        <f t="shared" si="13"/>
        <v>0</v>
      </c>
      <c r="L19" s="822">
        <f t="shared" si="13"/>
        <v>512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4102</v>
      </c>
      <c r="X19" s="821">
        <f t="shared" si="14"/>
        <v>509</v>
      </c>
      <c r="Y19" s="828">
        <f t="shared" si="14"/>
        <v>4511</v>
      </c>
      <c r="Z19" s="828">
        <f t="shared" si="14"/>
        <v>0</v>
      </c>
      <c r="AA19" s="828">
        <f t="shared" si="14"/>
        <v>2837</v>
      </c>
      <c r="AB19" s="828">
        <f t="shared" si="14"/>
        <v>11791</v>
      </c>
      <c r="AC19" s="828">
        <f t="shared" si="14"/>
        <v>3496</v>
      </c>
      <c r="AD19" s="828">
        <f t="shared" si="14"/>
        <v>0</v>
      </c>
      <c r="AE19" s="830">
        <f t="shared" si="14"/>
        <v>0</v>
      </c>
      <c r="AF19" s="831">
        <f t="shared" si="14"/>
        <v>0</v>
      </c>
      <c r="AG19" s="832">
        <f t="shared" si="14"/>
        <v>0</v>
      </c>
      <c r="AH19" s="830">
        <f t="shared" si="14"/>
        <v>0</v>
      </c>
      <c r="AI19" s="820">
        <f t="shared" si="14"/>
        <v>1192</v>
      </c>
      <c r="AJ19" s="820">
        <f t="shared" si="14"/>
        <v>0</v>
      </c>
      <c r="AK19" s="830">
        <f t="shared" si="14"/>
        <v>0</v>
      </c>
      <c r="AL19" s="884">
        <f>IF(ISNUMBER(NºAsuntos!G19/NºAsuntos!E19),NºAsuntos!G19/NºAsuntos!E19," - ")</f>
        <v>0.8190497092066279</v>
      </c>
      <c r="AM19" s="885">
        <f>IF(ISNUMBER(((NºAsuntos!I19/NºAsuntos!G19)*11)/factor_trimestre),((NºAsuntos!I19/NºAsuntos!G19)*11)/factor_trimestre," - ")</f>
        <v>6.8733922829581999</v>
      </c>
      <c r="AN19" s="885">
        <f>IF(ISNUMBER('Resol  Asuntos'!D19/NºAsuntos!G19),'Resol  Asuntos'!D19/NºAsuntos!G19," - ")</f>
        <v>0.15969989281886388</v>
      </c>
      <c r="AO19" s="886">
        <f>IF(ISNUMBER((NºAsuntos!C19+NºAsuntos!E19)/NºAsuntos!G19),(NºAsuntos!C19+NºAsuntos!E19)/NºAsuntos!G19," - ")</f>
        <v>3.2987674169346195</v>
      </c>
      <c r="AP19" s="887" t="str">
        <f t="shared" si="2"/>
        <v xml:space="preserve"> - </v>
      </c>
      <c r="AQ19" s="888">
        <f>IF(OR(ISNUMBER(FIND("01",Criterios!A8,1)),ISNUMBER(FIND("02",Criterios!A8,1)),ISNUMBER(FIND("03",Criterios!A8,1)),ISNUMBER(FIND("04",Criterios!A8,1))),(I19-W19+K19)/(F19-K19),(H19-W19+K19)/(F19-K19))</f>
        <v>-1.5549658832448825</v>
      </c>
      <c r="AR19" s="889">
        <f>IF(ISNUMBER((Datos!P19-Datos!Q19)/(Datos!R19-Datos!P19+Datos!Q19)),(Datos!P19-Datos!Q19)/(Datos!R19-Datos!P19+Datos!Q19)," - ")</f>
        <v>2.5449609772650153E-4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965.33333333333337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2.8284271247461903</v>
      </c>
      <c r="F21" s="252">
        <f>IF(ISNUMBER(STDEV(F8:F18)),STDEV(F8:F18),"-")</f>
        <v>1360.4000147015583</v>
      </c>
      <c r="G21" s="253">
        <f>IF(ISNUMBER(STDEV(G8:G18)),STDEV(G8:G18),"-")</f>
        <v>1326.2975030763898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1982.0126807532456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328.35607849667451</v>
      </c>
      <c r="AJ21" s="252">
        <f t="shared" si="18"/>
        <v>0</v>
      </c>
      <c r="AK21" s="254">
        <f t="shared" si="18"/>
        <v>0</v>
      </c>
      <c r="AL21" s="249">
        <f t="shared" si="18"/>
        <v>0.23800498107502505</v>
      </c>
      <c r="AM21" s="250">
        <f t="shared" si="18"/>
        <v>5.4385635574522633</v>
      </c>
      <c r="AN21" s="250">
        <f t="shared" si="18"/>
        <v>9.0883338616306833E-2</v>
      </c>
      <c r="AO21" s="251">
        <f t="shared" si="18"/>
        <v>1.769969276334354</v>
      </c>
      <c r="AP21" s="291" t="str">
        <f t="shared" si="18"/>
        <v>-</v>
      </c>
      <c r="AQ21" s="292">
        <f t="shared" si="18"/>
        <v>0.92413455619960883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CvHuOYOwryOgPoTSHvZfwkpPBt7+06Sst8uMQuxNDxyWa0qi0LunQpv1JLDnKyGf5D2vaYMqPa1/hmPytqgapg==" saltValue="K51O0/EmIcOixmKzCe5ld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LAS PALMAS</v>
      </c>
      <c r="E3" s="263"/>
    </row>
    <row r="4" spans="2:20" ht="17.25" customHeight="1" thickBot="1">
      <c r="D4" s="262" t="str">
        <f>Criterios!A11 &amp;"  "&amp;Criterios!B11</f>
        <v>Resumenes por Partidos Judiciales  SAN BARTOLOME DE TIRAJANA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0.49496981891348091</v>
      </c>
      <c r="I9" s="350">
        <f>IF(ISNUMBER((Tasas!C9-Datos!BE9)/Datos!BE9),(Tasas!C9-Datos!BE9)/Datos!BE9," - ")</f>
        <v>3.5913770880770211E-2</v>
      </c>
      <c r="J9" s="349">
        <f>IF(ISNUMBER((Tasas!D9-Datos!BF9)/Datos!BF9),(Tasas!D9-Datos!BF9)/Datos!BF9," - ")</f>
        <v>-0.62653984927880024</v>
      </c>
      <c r="K9" s="351">
        <f>IF(ISNUMBER((Tasas!E9-Datos!BG9)/Datos!BG9),(Tasas!E9-Datos!BG9)/Datos!BG9," - ")</f>
        <v>2.8457202379278321E-2</v>
      </c>
      <c r="M9" t="e">
        <f>IF(Monitorios="SI",Datos!CE9,0)</f>
        <v>#REF!</v>
      </c>
      <c r="N9" t="e">
        <f>IF(Monitorios="SI",Datos!CF9,0)</f>
        <v>#REF!</v>
      </c>
      <c r="O9" t="e">
        <f>IF(Monitorios="SI",Datos!CG9,0)</f>
        <v>#REF!</v>
      </c>
      <c r="P9" t="e">
        <f>IF(Monitorios="SI",Datos!CH9,0)</f>
        <v>#REF!</v>
      </c>
      <c r="Q9">
        <f>IF(J_V="SI",0,Datos!AG9)</f>
        <v>261</v>
      </c>
      <c r="R9">
        <f>IF(J_V="SI",0,Datos!AH9)</f>
        <v>161</v>
      </c>
      <c r="S9">
        <f>IF(J_V="SI",0,Datos!AI9)</f>
        <v>75</v>
      </c>
      <c r="T9">
        <f>IF(J_V="SI",0,Datos!AJ9)</f>
        <v>347</v>
      </c>
    </row>
    <row r="10" spans="2:20" ht="14.25">
      <c r="B10" s="275" t="s">
        <v>246</v>
      </c>
      <c r="C10" s="7" t="str">
        <f>Datos!A10</f>
        <v>Jdos. Violencia contra la mujer</v>
      </c>
      <c r="D10" s="352">
        <f>IF(ISNUMBER((Datos!I10-Datos!S10)/Datos!S10),(Datos!I10-Datos!S10)/Datos!S10," - ")</f>
        <v>2.2988505747126436E-2</v>
      </c>
      <c r="E10" s="348">
        <f>IF(ISNUMBER((Datos!J10-Datos!T10)/Datos!T10),(Datos!J10-Datos!T10)/Datos!T10," - ")</f>
        <v>-0.375</v>
      </c>
      <c r="F10" s="348">
        <f>IF(ISNUMBER((Datos!K10-Datos!U10)/Datos!U10),(Datos!K10-Datos!U10)/Datos!U10," - ")</f>
        <v>-7.1428571428571425E-2</v>
      </c>
      <c r="G10" s="349">
        <f>IF(ISNUMBER((Datos!L10-Datos!V10)/Datos!V10),(Datos!L10-Datos!V10)/Datos!V10," - ")</f>
        <v>-8.7912087912087919E-2</v>
      </c>
      <c r="H10" s="230">
        <f>IF(ISNUMBER((Datos!M10-Datos!W10)/Datos!W10),(Datos!M10-Datos!W10)/Datos!W10," - ")</f>
        <v>-0.18181818181818182</v>
      </c>
      <c r="I10" s="350">
        <f>IF(ISNUMBER((Tasas!C10-Datos!BE10)/Datos!BE10),(Tasas!C10-Datos!BE10)/Datos!BE10," - ")</f>
        <v>-1.7751479289940766E-2</v>
      </c>
      <c r="J10" s="349">
        <f>IF(ISNUMBER((Tasas!D10-Datos!BF10)/Datos!BF10),(Tasas!D10-Datos!BF10)/Datos!BF10," - ")</f>
        <v>-0.11888111888111888</v>
      </c>
      <c r="K10" s="351">
        <f>IF(ISNUMBER((Tasas!E10-Datos!BG10)/Datos!BG10),(Tasas!E10-Datos!BG10)/Datos!BG10," - ")</f>
        <v>-1.3574660633484115E-2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0.48031496062992124</v>
      </c>
      <c r="I13" s="357">
        <f>IF(ISNUMBER((Tasas!C13-Datos!BE13)/Datos!BE13),(Tasas!C13-Datos!BE13)/Datos!BE13," - ")</f>
        <v>3.557271010918138E-2</v>
      </c>
      <c r="J13" s="355">
        <f>IF(ISNUMBER((Tasas!D13-Datos!BF13)/Datos!BF13),(Tasas!D13-Datos!BF13)/Datos!BF13," - ")</f>
        <v>-0.62362732665762965</v>
      </c>
      <c r="K13" s="358">
        <f>IF(ISNUMBER((Tasas!E13-Datos!BG13)/Datos!BG13),(Tasas!E13-Datos!BG13)/Datos!BG13," - ")</f>
        <v>2.8176869300552583E-2</v>
      </c>
      <c r="M13" t="e">
        <f>IF(Monitorios="SI",Datos!CE13,0)</f>
        <v>#REF!</v>
      </c>
      <c r="N13" t="e">
        <f>IF(Monitorios="SI",Datos!CF13,0)</f>
        <v>#REF!</v>
      </c>
      <c r="O13" t="e">
        <f>IF(Monitorios="SI",Datos!CG13,0)</f>
        <v>#REF!</v>
      </c>
      <c r="P13" t="e">
        <f>IF(Monitorios="SI",Datos!CH13,0)</f>
        <v>#REF!</v>
      </c>
      <c r="Q13">
        <f>IF(J_V="SI",0,Datos!AG13)</f>
        <v>261</v>
      </c>
      <c r="R13">
        <f>IF(J_V="SI",0,Datos!AH13)</f>
        <v>161</v>
      </c>
      <c r="S13">
        <f>IF(J_V="SI",0,Datos!AI13)</f>
        <v>75</v>
      </c>
      <c r="T13">
        <f>IF(J_V="SI",0,Datos!AJ13)</f>
        <v>347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-5.8342623560014864E-2</v>
      </c>
      <c r="E15" s="348">
        <f>IF(ISNUMBER(
   IF(D_I="SI",(Datos!J15-Datos!T15)/Datos!T15,(Datos!J15+Datos!AD15-(Datos!T15+Datos!AL15))/(Datos!T15+Datos!AL15))
     ),IF(D_I="SI",(Datos!J15-Datos!T15)/Datos!T15,(Datos!J15+Datos!AD15-(Datos!T15+Datos!AL15))/(Datos!T15+Datos!AL15))," - ")</f>
        <v>0.16950728230554696</v>
      </c>
      <c r="F15" s="348">
        <f>IF(ISNUMBER(
   IF(D_I="SI",(Datos!K15-Datos!U15)/Datos!U15,(Datos!K15+Datos!AE15-(Datos!U15+Datos!AM15))/(Datos!U15+Datos!AM15))
     ),IF(D_I="SI",(Datos!K15-Datos!U15)/Datos!U15,(Datos!K15+Datos!AE15-(Datos!U15+Datos!AM15))/(Datos!U15+Datos!AM15))," - ")</f>
        <v>0.40178904211703315</v>
      </c>
      <c r="G15" s="349">
        <f>IF(ISNUMBER(
   IF(D_I="SI",(Datos!L15-Datos!V15)/Datos!V15,(Datos!L15+Datos!AF15-(Datos!V15+Datos!AN15))/(Datos!V15+Datos!AN15))
     ),IF(D_I="SI",(Datos!L15-Datos!V15)/Datos!V15,(Datos!L15+Datos!AF15-(Datos!V15+Datos!AN15))/(Datos!V15+Datos!AN15))," - ")</f>
        <v>-0.21051004636785162</v>
      </c>
      <c r="H15" s="230">
        <f>IF(ISNUMBER((Datos!M15-Datos!W15)/Datos!W15),(Datos!M15-Datos!W15)/Datos!W15," - ")</f>
        <v>0.53754940711462451</v>
      </c>
      <c r="I15" s="350">
        <f>IF(ISNUMBER((Tasas!C15-Datos!BE15)/Datos!BE15),(Tasas!C15-Datos!BE15)/Datos!BE15," - ")</f>
        <v>-0.43679831279046688</v>
      </c>
      <c r="J15" s="349">
        <f>IF(ISNUMBER((Tasas!D15-Datos!BF15)/Datos!BF15),(Tasas!D15-Datos!BF15)/Datos!BF15," - ")</f>
        <v>9.6847928553187412E-2</v>
      </c>
      <c r="K15" s="351">
        <f>IF(ISNUMBER((Tasas!E15-Datos!BG15)/Datos!BG15),(Tasas!E15-Datos!BG15)/Datos!BG15," - ")</f>
        <v>-0.23961408594045053</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-0.1111111111111111</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-0.1111111111111111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0.70967741935483875</v>
      </c>
      <c r="E17" s="348">
        <f>IF(ISNUMBER(
   IF(D_I="SI",(Datos!J17-Datos!T17)/Datos!T17,(Datos!J17+Datos!AD17-(Datos!T17+Datos!AL17))/(Datos!T17+Datos!AL17))
     ),IF(D_I="SI",(Datos!J17-Datos!T17)/Datos!T17,(Datos!J17+Datos!AD17-(Datos!T17+Datos!AL17))/(Datos!T17+Datos!AL17))," - ")</f>
        <v>0.34334763948497854</v>
      </c>
      <c r="F17" s="348">
        <f>IF(ISNUMBER(
   IF(D_I="SI",(Datos!K17-Datos!U17)/Datos!U17,(Datos!K17+Datos!AE17-(Datos!U17+Datos!AM17))/(Datos!U17+Datos!AM17))
     ),IF(D_I="SI",(Datos!K17-Datos!U17)/Datos!U17,(Datos!K17+Datos!AE17-(Datos!U17+Datos!AM17))/(Datos!U17+Datos!AM17))," - ")</f>
        <v>0.36956521739130432</v>
      </c>
      <c r="G17" s="349">
        <f>IF(ISNUMBER(
   IF(D_I="SI",(Datos!L17-Datos!V17)/Datos!V17,(Datos!L17+Datos!AF17-(Datos!V17+Datos!AN17))/(Datos!V17+Datos!AN17))
     ),IF(D_I="SI",(Datos!L17-Datos!V17)/Datos!V17,(Datos!L17+Datos!AF17-(Datos!V17+Datos!AN17))/(Datos!V17+Datos!AN17))," - ")</f>
        <v>0.21518987341772153</v>
      </c>
      <c r="H17" s="230">
        <f>IF(ISNUMBER((Datos!M17-Datos!W17)/Datos!W17),(Datos!M17-Datos!W17)/Datos!W17," - ")</f>
        <v>-0.15</v>
      </c>
      <c r="I17" s="350">
        <f>IF(ISNUMBER((Tasas!C17-Datos!BE17)/Datos!BE17),(Tasas!C17-Datos!BE17)/Datos!BE17," - ")</f>
        <v>-0.11271850512356837</v>
      </c>
      <c r="J17" s="349">
        <f>IF(ISNUMBER((Tasas!D17-Datos!BF17)/Datos!BF17),(Tasas!D17-Datos!BF17)/Datos!BF17," - ")</f>
        <v>-0.37936507936507929</v>
      </c>
      <c r="K17" s="351">
        <f>IF(ISNUMBER((Tasas!E17-Datos!BG17)/Datos!BG17),(Tasas!E17-Datos!BG17)/Datos!BG17," - ")</f>
        <v>8.7710685648829917E-2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-1.6812609457092821E-2</v>
      </c>
      <c r="E18" s="354">
        <f>IF(ISNUMBER(
   IF(D_I="SI",(Datos!J18-Datos!T18)/Datos!T18,(Datos!J18+Datos!AD18-(Datos!T18+Datos!AL18))/(Datos!T18+Datos!AL18))
     ),IF(D_I="SI",(Datos!J18-Datos!T18)/Datos!T18,(Datos!J18+Datos!AD18-(Datos!T18+Datos!AL18))/(Datos!T18+Datos!AL18))," - ")</f>
        <v>0.18121387283236995</v>
      </c>
      <c r="F18" s="354">
        <f>IF(ISNUMBER(
   IF(D_I="SI",(Datos!K18-Datos!U18)/Datos!U18,(Datos!K18+Datos!AE18-(Datos!U18+Datos!AM18))/(Datos!U18+Datos!AM18))
     ),IF(D_I="SI",(Datos!K18-Datos!U18)/Datos!U18,(Datos!K18+Datos!AE18-(Datos!U18+Datos!AM18))/(Datos!U18+Datos!AM18))," - ")</f>
        <v>0.39924476484723653</v>
      </c>
      <c r="G18" s="355">
        <f>IF(ISNUMBER(
   IF(D_I="SI",(Datos!L18-Datos!V18)/Datos!V18,(Datos!L18+Datos!AF18-(Datos!V18+Datos!AN18))/(Datos!V18+Datos!AN18))
     ),IF(D_I="SI",(Datos!L18-Datos!V18)/Datos!V18,(Datos!L18+Datos!AF18-(Datos!V18+Datos!AN18))/(Datos!V18+Datos!AN18))," - ")</f>
        <v>-0.19047619047619047</v>
      </c>
      <c r="H18" s="356">
        <f>IF(ISNUMBER((Datos!M18-Datos!W18)/Datos!W18),(Datos!M18-Datos!W18)/Datos!W18," - ")</f>
        <v>0.40575079872204473</v>
      </c>
      <c r="I18" s="357">
        <f>IF(ISNUMBER((Tasas!C18-Datos!BE18)/Datos!BE18),(Tasas!C18-Datos!BE18)/Datos!BE18," - ")</f>
        <v>-0.42145661012196822</v>
      </c>
      <c r="J18" s="355">
        <f>IF(ISNUMBER((Tasas!D18-Datos!BF18)/Datos!BF18),(Tasas!D18-Datos!BF18)/Datos!BF18," - ")</f>
        <v>4.6496753379088171E-3</v>
      </c>
      <c r="K18" s="358">
        <f>IF(ISNUMBER((Tasas!E18-Datos!BG18)/Datos!BG18),(Tasas!E18-Datos!BG18)/Datos!BG18," - ")</f>
        <v>-0.21980307646404768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0.1830803264932489</v>
      </c>
      <c r="E19" s="363">
        <f>IF(ISNUMBER(
   IF(J_V="SI",(Datos!J19-Datos!T19)/Datos!T19,(Datos!J19+Datos!Z19-(Datos!T19+Datos!AH19))/(Datos!T19+Datos!AH19))
     ),IF(J_V="SI",(Datos!J19-Datos!T19)/Datos!T19,(Datos!J19+Datos!Z19-(Datos!T19+Datos!AH19))/(Datos!T19+Datos!AH19))," - ")</f>
        <v>0.26816031171722793</v>
      </c>
      <c r="F19" s="363">
        <f>IF(ISNUMBER(
   IF(J_V="SI",(Datos!K19-Datos!U19)/Datos!U19,(Datos!K19+Datos!AA19-(Datos!U19+Datos!AI19))/(Datos!U19+Datos!AI19))
     ),IF(J_V="SI",(Datos!K19-Datos!U19)/Datos!U19,(Datos!K19+Datos!AA19-(Datos!U19+Datos!AI19))/(Datos!U19+Datos!AI19))," - ")</f>
        <v>0.31872791519434629</v>
      </c>
      <c r="G19" s="364">
        <f>IF(ISNUMBER(
   IF(J_V="SI",(Datos!L19-Datos!V19)/Datos!V19,(Datos!L19+Datos!AB19-(Datos!V19+Datos!AJ19))/(Datos!V19+Datos!AJ19))
     ),IF(J_V="SI",(Datos!L19-Datos!V19)/Datos!V19,(Datos!L19+Datos!AB19-(Datos!V19+Datos!AJ19))/(Datos!V19+Datos!AJ19))," - ")</f>
        <v>0.16850017082336863</v>
      </c>
      <c r="H19" s="365">
        <f>IF(ISNUMBER((Datos!M19-Datos!W19)/Datos!W19),(Datos!M19-Datos!W19)/Datos!W19," - ")</f>
        <v>0.45188794153471379</v>
      </c>
      <c r="I19" s="362">
        <f>IF(ISNUMBER((Tasas!C19-Datos!BE19)/Datos!BE19),(Tasas!C19-Datos!BE19)/Datos!BE19," - ")</f>
        <v>-0.11391868075291182</v>
      </c>
      <c r="J19" s="363">
        <f>IF(ISNUMBER((Tasas!D19-Datos!BF19)/Datos!BF19),(Tasas!D19-Datos!BF19)/Datos!BF19," - ")</f>
        <v>-0.5323841731222092</v>
      </c>
      <c r="K19" s="364">
        <f>IF(ISNUMBER((Tasas!E19-Datos!BG19)/Datos!BG19),(Tasas!E19-Datos!BG19)/Datos!BG19," - ")</f>
        <v>-8.0018547432867917E-2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0.33929788353817514</v>
      </c>
      <c r="E21" s="278">
        <f t="shared" si="1"/>
        <v>0.31338611119825688</v>
      </c>
      <c r="F21" s="278">
        <f t="shared" si="1"/>
        <v>0.2312771686369112</v>
      </c>
      <c r="G21" s="279">
        <f t="shared" si="1"/>
        <v>0.17128874413274539</v>
      </c>
      <c r="H21" s="285">
        <f t="shared" si="1"/>
        <v>0.33621729934226419</v>
      </c>
      <c r="I21" s="277">
        <f t="shared" si="1"/>
        <v>0.22080451906843121</v>
      </c>
      <c r="J21" s="278">
        <f t="shared" si="1"/>
        <v>0.31523314890088661</v>
      </c>
      <c r="K21" s="279">
        <f t="shared" si="1"/>
        <v>0.1394331412709218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VVemqEehJVL+KRnOGf+QN38KdITwnZp9bjSwTMqfCONAjV07HIpM7JJYOe7g033ZUhAeVU2L9/ym5ip8MNesA==" saltValue="XiKPBvyGlRTl10rysozo8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